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231"/>
  <workbookPr codeName="ThisWorkbook"/>
  <mc:AlternateContent xmlns:mc="http://schemas.openxmlformats.org/markup-compatibility/2006">
    <mc:Choice Requires="x15">
      <x15ac:absPath xmlns:x15ac="http://schemas.microsoft.com/office/spreadsheetml/2010/11/ac" url="C:\Users\evely\Desktop\"/>
    </mc:Choice>
  </mc:AlternateContent>
  <xr:revisionPtr revIDLastSave="0" documentId="13_ncr:8001_{A676B09C-A2CB-4347-A9C1-01F1AD45D58F}" xr6:coauthVersionLast="40" xr6:coauthVersionMax="40" xr10:uidLastSave="{00000000-0000-0000-0000-000000000000}"/>
  <workbookProtection workbookPassword="DACB" lockStructure="1"/>
  <bookViews>
    <workbookView xWindow="-120" yWindow="-120" windowWidth="29040" windowHeight="15840" xr2:uid="{00000000-000D-0000-FFFF-FFFF00000000}"/>
  </bookViews>
  <sheets>
    <sheet name="Instructions" sheetId="3" r:id="rId1"/>
    <sheet name="Panel Emissions" sheetId="2" r:id="rId2"/>
    <sheet name="Panel Sizer Tool" sheetId="4" r:id="rId3"/>
    <sheet name="Calculations" sheetId="5" state="hidden" r:id="rId4"/>
  </sheets>
  <definedNames>
    <definedName name="AnAli">Calculations!$D$25</definedName>
    <definedName name="Angle">'Panel Emissions'!$C$17</definedName>
    <definedName name="DblTube">Calculations!$C$25</definedName>
    <definedName name="Electric">Calculations!$C$24</definedName>
    <definedName name="EmissionsBasis">Calculations!$E$21</definedName>
    <definedName name="EmissionsByArea">Calculations!$F$22</definedName>
    <definedName name="EmissionsByLength">Calculations!$F$23</definedName>
    <definedName name="EmissionsList">Calculations!$F$22:$F$23</definedName>
    <definedName name="Gap">'Panel Emissions'!$C$18</definedName>
    <definedName name="GapEx">'Panel Emissions'!$G$19</definedName>
    <definedName name="HeightDerate">'Panel Emissions'!$C$16</definedName>
    <definedName name="Mat">'Panel Emissions'!$E$12</definedName>
    <definedName name="MatIndex">Calculations!$D$21</definedName>
    <definedName name="MatList">Calculations!$D$22:$D$28</definedName>
    <definedName name="Medium">'Panel Emissions'!$E$13</definedName>
    <definedName name="MediumIndex">Calculations!$C$21</definedName>
    <definedName name="MediumList">Calculations!$C$22:$C$25</definedName>
    <definedName name="Mounting">'Panel Emissions'!$C$15</definedName>
    <definedName name="No_of">#REF!</definedName>
    <definedName name="PAli">Calculations!$D$23</definedName>
    <definedName name="PerfAli">Calculations!$D$28</definedName>
    <definedName name="PerfSt">Calculations!$D$27</definedName>
    <definedName name="PlSt">Calculations!$D$26</definedName>
    <definedName name="_xlnm.Print_Area" localSheetId="1">'Panel Emissions'!$A$1:$R$48</definedName>
    <definedName name="_xlnm.Print_Area" localSheetId="2">'Panel Sizer Tool'!$A$1:$W$56</definedName>
    <definedName name="_xlnm.Print_Titles" localSheetId="2">'Panel Sizer Tool'!$A:$N,'Panel Sizer Tool'!$1:$11</definedName>
    <definedName name="PSt">Calculations!$D$22</definedName>
    <definedName name="SkirtEx">'Panel Emissions'!$B$20</definedName>
    <definedName name="Steam">Calculations!$C$23</definedName>
    <definedName name="StSt">Calculations!$D$24</definedName>
    <definedName name="Water">Calculations!$C$22</definedName>
    <definedName name="Width">'Panel Emissions'!$C$14</definedName>
  </definedNames>
  <calcPr calcId="181029"/>
</workbook>
</file>

<file path=xl/calcChain.xml><?xml version="1.0" encoding="utf-8"?>
<calcChain xmlns="http://schemas.openxmlformats.org/spreadsheetml/2006/main">
  <c r="F23" i="5" l="1"/>
  <c r="B18" i="5"/>
  <c r="B17" i="5"/>
  <c r="B16" i="5"/>
  <c r="B15" i="5"/>
  <c r="B14" i="5"/>
  <c r="B13" i="5"/>
  <c r="B12" i="5"/>
  <c r="B11" i="5"/>
  <c r="B10" i="5"/>
  <c r="B9" i="5"/>
  <c r="B8" i="5"/>
  <c r="B7" i="5"/>
  <c r="B6" i="5"/>
  <c r="I5" i="5"/>
  <c r="H5" i="5"/>
  <c r="G5" i="5"/>
  <c r="F5" i="5"/>
  <c r="E5" i="5"/>
  <c r="D5" i="5"/>
  <c r="C5" i="5"/>
  <c r="C16" i="2"/>
  <c r="C23" i="2"/>
  <c r="E1" i="2" s="1"/>
  <c r="C21" i="2"/>
  <c r="D33" i="5" l="1"/>
  <c r="D30" i="5" s="1"/>
  <c r="S8" i="4"/>
  <c r="O8" i="4"/>
  <c r="E8" i="4"/>
  <c r="I18" i="4" l="1"/>
  <c r="J18" i="4"/>
  <c r="K18" i="4"/>
  <c r="O18" i="4"/>
  <c r="I19" i="4"/>
  <c r="J19" i="4"/>
  <c r="K19" i="4"/>
  <c r="O19" i="4"/>
  <c r="I20" i="4"/>
  <c r="J20" i="4"/>
  <c r="K20" i="4"/>
  <c r="O20" i="4"/>
  <c r="I21" i="4"/>
  <c r="J21" i="4"/>
  <c r="K21" i="4"/>
  <c r="O21" i="4"/>
  <c r="I22" i="4"/>
  <c r="J22" i="4"/>
  <c r="K22" i="4"/>
  <c r="O22" i="4"/>
  <c r="I23" i="4"/>
  <c r="J23" i="4"/>
  <c r="K23" i="4"/>
  <c r="O23" i="4"/>
  <c r="I24" i="4"/>
  <c r="J24" i="4"/>
  <c r="K24" i="4"/>
  <c r="O24" i="4"/>
  <c r="I25" i="4"/>
  <c r="J25" i="4"/>
  <c r="K25" i="4"/>
  <c r="O25" i="4"/>
  <c r="I26" i="4"/>
  <c r="J26" i="4"/>
  <c r="K26" i="4"/>
  <c r="O26" i="4"/>
  <c r="I27" i="4"/>
  <c r="J27" i="4"/>
  <c r="K27" i="4"/>
  <c r="O27" i="4"/>
  <c r="I28" i="4"/>
  <c r="J28" i="4"/>
  <c r="K28" i="4"/>
  <c r="O28" i="4"/>
  <c r="I16" i="4"/>
  <c r="I17" i="4"/>
  <c r="I13" i="4"/>
  <c r="I14" i="4"/>
  <c r="I15" i="4"/>
  <c r="I12" i="4"/>
  <c r="L28" i="4" l="1"/>
  <c r="M28" i="4" s="1"/>
  <c r="L27" i="4"/>
  <c r="M27" i="4" s="1"/>
  <c r="L26" i="4"/>
  <c r="M26" i="4" s="1"/>
  <c r="L25" i="4"/>
  <c r="M25" i="4" s="1"/>
  <c r="L24" i="4"/>
  <c r="M24" i="4" s="1"/>
  <c r="L23" i="4"/>
  <c r="M23" i="4" s="1"/>
  <c r="L22" i="4"/>
  <c r="M22" i="4" s="1"/>
  <c r="L21" i="4"/>
  <c r="N21" i="4" s="1"/>
  <c r="L20" i="4"/>
  <c r="M20" i="4" s="1"/>
  <c r="L19" i="4"/>
  <c r="M19" i="4" s="1"/>
  <c r="L18" i="4"/>
  <c r="M18" i="4" s="1"/>
  <c r="K12" i="4"/>
  <c r="J13" i="4"/>
  <c r="K13" i="4"/>
  <c r="J14" i="4"/>
  <c r="K14" i="4"/>
  <c r="J15" i="4"/>
  <c r="K15" i="4"/>
  <c r="J16" i="4"/>
  <c r="K16" i="4"/>
  <c r="J17" i="4"/>
  <c r="K17" i="4"/>
  <c r="J12" i="4"/>
  <c r="N19" i="4" l="1"/>
  <c r="R19" i="4" s="1"/>
  <c r="T19" i="4" s="1"/>
  <c r="M21" i="4"/>
  <c r="R21" i="4" s="1"/>
  <c r="T21" i="4" s="1"/>
  <c r="N27" i="4"/>
  <c r="R27" i="4" s="1"/>
  <c r="T27" i="4" s="1"/>
  <c r="N23" i="4"/>
  <c r="R23" i="4" s="1"/>
  <c r="T23" i="4" s="1"/>
  <c r="N25" i="4"/>
  <c r="R25" i="4" s="1"/>
  <c r="T25" i="4" s="1"/>
  <c r="N24" i="4"/>
  <c r="R24" i="4" s="1"/>
  <c r="T24" i="4" s="1"/>
  <c r="N20" i="4"/>
  <c r="R20" i="4" s="1"/>
  <c r="T20" i="4" s="1"/>
  <c r="N28" i="4"/>
  <c r="R28" i="4" s="1"/>
  <c r="T28" i="4" s="1"/>
  <c r="N22" i="4"/>
  <c r="R22" i="4" s="1"/>
  <c r="T22" i="4" s="1"/>
  <c r="N26" i="4"/>
  <c r="R26" i="4" s="1"/>
  <c r="T26" i="4" s="1"/>
  <c r="N18" i="4"/>
  <c r="R18" i="4" s="1"/>
  <c r="T18" i="4" s="1"/>
  <c r="P19" i="4"/>
  <c r="Q19" i="4" s="1"/>
  <c r="P20" i="4"/>
  <c r="Q20" i="4" s="1"/>
  <c r="P22" i="4"/>
  <c r="Q22" i="4" s="1"/>
  <c r="P24" i="4"/>
  <c r="Q24" i="4" s="1"/>
  <c r="P26" i="4"/>
  <c r="Q26" i="4" s="1"/>
  <c r="P28" i="4"/>
  <c r="Q28" i="4" s="1"/>
  <c r="P18" i="4"/>
  <c r="Q18" i="4" s="1"/>
  <c r="P23" i="4"/>
  <c r="Q23" i="4" s="1"/>
  <c r="P25" i="4"/>
  <c r="Q25" i="4" s="1"/>
  <c r="P27" i="4"/>
  <c r="Q27" i="4" s="1"/>
  <c r="L17" i="4"/>
  <c r="L16" i="4"/>
  <c r="L15" i="4"/>
  <c r="P21" i="4" l="1"/>
  <c r="Q21" i="4" s="1"/>
  <c r="S25" i="4"/>
  <c r="S21" i="4"/>
  <c r="S28" i="4"/>
  <c r="S24" i="4"/>
  <c r="S20" i="4"/>
  <c r="S27" i="4"/>
  <c r="S23" i="4"/>
  <c r="S18" i="4"/>
  <c r="S26" i="4"/>
  <c r="S22" i="4"/>
  <c r="S19" i="4"/>
  <c r="M15" i="4"/>
  <c r="N15" i="4"/>
  <c r="M17" i="4"/>
  <c r="N17" i="4"/>
  <c r="M16" i="4"/>
  <c r="N16" i="4"/>
  <c r="R16" i="4" l="1"/>
  <c r="T16" i="4" s="1"/>
  <c r="R17" i="4"/>
  <c r="T17" i="4" s="1"/>
  <c r="R15" i="4"/>
  <c r="T15" i="4" s="1"/>
  <c r="O12" i="4"/>
  <c r="O13" i="4"/>
  <c r="O14" i="4"/>
  <c r="O15" i="4"/>
  <c r="P15" i="4" s="1"/>
  <c r="O16" i="4"/>
  <c r="O17" i="4"/>
  <c r="P17" i="4" s="1"/>
  <c r="D14" i="2"/>
  <c r="C19" i="2"/>
  <c r="G19" i="2"/>
  <c r="B20" i="2"/>
  <c r="C20" i="2"/>
  <c r="E13" i="2"/>
  <c r="B23" i="2" s="1"/>
  <c r="D31" i="5" s="1"/>
  <c r="E12" i="2"/>
  <c r="H18" i="5" l="1"/>
  <c r="H38" i="2" s="1"/>
  <c r="F18" i="5"/>
  <c r="D18" i="5"/>
  <c r="D38" i="2" s="1"/>
  <c r="H17" i="5"/>
  <c r="H37" i="2" s="1"/>
  <c r="F17" i="5"/>
  <c r="F37" i="2" s="1"/>
  <c r="D17" i="5"/>
  <c r="H16" i="5"/>
  <c r="H36" i="2" s="1"/>
  <c r="F16" i="5"/>
  <c r="F36" i="2" s="1"/>
  <c r="D16" i="5"/>
  <c r="H15" i="5"/>
  <c r="F15" i="5"/>
  <c r="F35" i="2" s="1"/>
  <c r="D15" i="5"/>
  <c r="D35" i="2" s="1"/>
  <c r="H14" i="5"/>
  <c r="H34" i="2" s="1"/>
  <c r="F14" i="5"/>
  <c r="D14" i="5"/>
  <c r="D34" i="2" s="1"/>
  <c r="H13" i="5"/>
  <c r="H33" i="2" s="1"/>
  <c r="F13" i="5"/>
  <c r="D13" i="5"/>
  <c r="H12" i="5"/>
  <c r="F12" i="5"/>
  <c r="F32" i="2" s="1"/>
  <c r="D12" i="5"/>
  <c r="H11" i="5"/>
  <c r="F11" i="5"/>
  <c r="F31" i="2" s="1"/>
  <c r="D11" i="5"/>
  <c r="D31" i="2" s="1"/>
  <c r="H10" i="5"/>
  <c r="H30" i="2" s="1"/>
  <c r="F10" i="5"/>
  <c r="D10" i="5"/>
  <c r="D30" i="2" s="1"/>
  <c r="H9" i="5"/>
  <c r="H29" i="2" s="1"/>
  <c r="B3" i="5" s="1"/>
  <c r="F9" i="5"/>
  <c r="F29" i="2" s="1"/>
  <c r="D9" i="5"/>
  <c r="H8" i="5"/>
  <c r="H28" i="2" s="1"/>
  <c r="F8" i="5"/>
  <c r="F28" i="2" s="1"/>
  <c r="D8" i="5"/>
  <c r="H7" i="5"/>
  <c r="H27" i="2" s="1"/>
  <c r="F7" i="5"/>
  <c r="F27" i="2" s="1"/>
  <c r="D7" i="5"/>
  <c r="D27" i="2" s="1"/>
  <c r="H6" i="5"/>
  <c r="H26" i="2" s="1"/>
  <c r="F6" i="5"/>
  <c r="D6" i="5"/>
  <c r="D26" i="2" s="1"/>
  <c r="I18" i="5"/>
  <c r="I38" i="2" s="1"/>
  <c r="G18" i="5"/>
  <c r="G38" i="2" s="1"/>
  <c r="E18" i="5"/>
  <c r="C18" i="5"/>
  <c r="C38" i="2" s="1"/>
  <c r="I17" i="5"/>
  <c r="I37" i="2" s="1"/>
  <c r="G17" i="5"/>
  <c r="G37" i="2" s="1"/>
  <c r="E17" i="5"/>
  <c r="C17" i="5"/>
  <c r="C37" i="2" s="1"/>
  <c r="I16" i="5"/>
  <c r="I36" i="2" s="1"/>
  <c r="G16" i="5"/>
  <c r="G36" i="2" s="1"/>
  <c r="E16" i="5"/>
  <c r="E36" i="2" s="1"/>
  <c r="C16" i="5"/>
  <c r="C36" i="2" s="1"/>
  <c r="I15" i="5"/>
  <c r="I35" i="2" s="1"/>
  <c r="G15" i="5"/>
  <c r="E15" i="5"/>
  <c r="C15" i="5"/>
  <c r="I14" i="5"/>
  <c r="I34" i="2" s="1"/>
  <c r="G14" i="5"/>
  <c r="E14" i="5"/>
  <c r="E34" i="2" s="1"/>
  <c r="C14" i="5"/>
  <c r="C34" i="2" s="1"/>
  <c r="I13" i="5"/>
  <c r="I33" i="2" s="1"/>
  <c r="G13" i="5"/>
  <c r="G33" i="2" s="1"/>
  <c r="E13" i="5"/>
  <c r="E33" i="2" s="1"/>
  <c r="C13" i="5"/>
  <c r="C33" i="2" s="1"/>
  <c r="I12" i="5"/>
  <c r="I32" i="2" s="1"/>
  <c r="G12" i="5"/>
  <c r="G32" i="2" s="1"/>
  <c r="E12" i="5"/>
  <c r="E32" i="2" s="1"/>
  <c r="C12" i="5"/>
  <c r="C32" i="2" s="1"/>
  <c r="I11" i="5"/>
  <c r="I31" i="2" s="1"/>
  <c r="G11" i="5"/>
  <c r="E11" i="5"/>
  <c r="E31" i="2" s="1"/>
  <c r="C11" i="5"/>
  <c r="C31" i="2" s="1"/>
  <c r="I10" i="5"/>
  <c r="I30" i="2" s="1"/>
  <c r="G10" i="5"/>
  <c r="G30" i="2" s="1"/>
  <c r="E10" i="5"/>
  <c r="E30" i="2" s="1"/>
  <c r="C10" i="5"/>
  <c r="C30" i="2" s="1"/>
  <c r="I9" i="5"/>
  <c r="I29" i="2" s="1"/>
  <c r="G9" i="5"/>
  <c r="G29" i="2" s="1"/>
  <c r="L14" i="4" s="1"/>
  <c r="E9" i="5"/>
  <c r="E29" i="2" s="1"/>
  <c r="C9" i="5"/>
  <c r="C29" i="2" s="1"/>
  <c r="I8" i="5"/>
  <c r="I28" i="2" s="1"/>
  <c r="G8" i="5"/>
  <c r="G28" i="2" s="1"/>
  <c r="E8" i="5"/>
  <c r="E28" i="2" s="1"/>
  <c r="C8" i="5"/>
  <c r="C28" i="2" s="1"/>
  <c r="I7" i="5"/>
  <c r="I27" i="2" s="1"/>
  <c r="G7" i="5"/>
  <c r="G27" i="2" s="1"/>
  <c r="E7" i="5"/>
  <c r="E27" i="2" s="1"/>
  <c r="C7" i="5"/>
  <c r="C27" i="2" s="1"/>
  <c r="I6" i="5"/>
  <c r="I26" i="2" s="1"/>
  <c r="G6" i="5"/>
  <c r="G26" i="2" s="1"/>
  <c r="E6" i="5"/>
  <c r="C6" i="5"/>
  <c r="C26" i="2" s="1"/>
  <c r="S15" i="4"/>
  <c r="S17" i="4"/>
  <c r="S16" i="4"/>
  <c r="P16" i="4"/>
  <c r="Q16" i="4" s="1"/>
  <c r="Q17" i="4"/>
  <c r="Q15" i="4"/>
  <c r="E26" i="2"/>
  <c r="D29" i="2"/>
  <c r="H31" i="2"/>
  <c r="D33" i="2"/>
  <c r="F33" i="2"/>
  <c r="G34" i="2"/>
  <c r="H35" i="2"/>
  <c r="D37" i="2"/>
  <c r="E38" i="2"/>
  <c r="F26" i="2"/>
  <c r="D28" i="2"/>
  <c r="F30" i="2"/>
  <c r="G31" i="2"/>
  <c r="D32" i="2"/>
  <c r="H32" i="2"/>
  <c r="F34" i="2"/>
  <c r="C35" i="2"/>
  <c r="E35" i="2"/>
  <c r="G35" i="2"/>
  <c r="D36" i="2"/>
  <c r="E37" i="2"/>
  <c r="F38" i="2"/>
  <c r="N14" i="4" l="1"/>
  <c r="M14" i="4"/>
  <c r="P14" i="4" s="1"/>
  <c r="L13" i="4"/>
  <c r="N13" i="4" s="1"/>
  <c r="L12" i="4"/>
  <c r="R14" i="4" l="1"/>
  <c r="T14" i="4" s="1"/>
  <c r="Q14" i="4"/>
  <c r="N12" i="4"/>
  <c r="W12" i="4" s="1"/>
  <c r="M13" i="4"/>
  <c r="R13" i="4" s="1"/>
  <c r="T13" i="4" s="1"/>
  <c r="M12" i="4"/>
  <c r="R12" i="4" l="1"/>
  <c r="T12" i="4" s="1"/>
  <c r="S14" i="4"/>
  <c r="S13" i="4"/>
  <c r="P13" i="4"/>
  <c r="Q13" i="4" s="1"/>
  <c r="P12" i="4"/>
  <c r="O29" i="4" l="1"/>
  <c r="Q12" i="4"/>
  <c r="S12" i="4"/>
  <c r="R29" i="4" s="1"/>
</calcChain>
</file>

<file path=xl/sharedStrings.xml><?xml version="1.0" encoding="utf-8"?>
<sst xmlns="http://schemas.openxmlformats.org/spreadsheetml/2006/main" count="209" uniqueCount="159">
  <si>
    <t>/°C</t>
  </si>
  <si>
    <t>Material list</t>
  </si>
  <si>
    <t>Painted Steel</t>
  </si>
  <si>
    <t>Stainless Steel</t>
  </si>
  <si>
    <t>Anodised Aluminium</t>
  </si>
  <si>
    <t>mm deep gap behind a wall panel</t>
  </si>
  <si>
    <t>derating for high mounting positions</t>
  </si>
  <si>
    <t>Temperature</t>
  </si>
  <si>
    <t>Emission  (W/m²)</t>
  </si>
  <si>
    <t>Ambient Temperature   /°C</t>
  </si>
  <si>
    <t>° to Vertical mounting angle</t>
  </si>
  <si>
    <t>Painted Aluminium</t>
  </si>
  <si>
    <t>Amendments</t>
  </si>
  <si>
    <t>6th column added</t>
  </si>
  <si>
    <t>Assumptions</t>
  </si>
  <si>
    <t>Axes labels corrected</t>
  </si>
  <si>
    <t>Derating corrected</t>
  </si>
  <si>
    <t>Axes adjustable</t>
  </si>
  <si>
    <t>Plastic-coated steel</t>
  </si>
  <si>
    <t>Perforated Steel</t>
  </si>
  <si>
    <t>Perforated Aluminium</t>
  </si>
  <si>
    <t>Medium List</t>
  </si>
  <si>
    <t>Hot Water</t>
  </si>
  <si>
    <t>Steam</t>
  </si>
  <si>
    <t>Electric</t>
  </si>
  <si>
    <t>Double Tube Hot Water</t>
  </si>
  <si>
    <t>Perforated added</t>
  </si>
  <si>
    <t>Medium</t>
  </si>
  <si>
    <t xml:space="preserve">Faceplate </t>
  </si>
  <si>
    <t>Graph Axes Headings</t>
  </si>
  <si>
    <t>Ambient Temperature  /°C</t>
  </si>
  <si>
    <t>Date:</t>
  </si>
  <si>
    <t>Additional guidance</t>
  </si>
  <si>
    <t>(a)</t>
  </si>
  <si>
    <t>(b)</t>
  </si>
  <si>
    <t xml:space="preserve">(c) </t>
  </si>
  <si>
    <t>(d)</t>
  </si>
  <si>
    <t>(f)</t>
  </si>
  <si>
    <t>(g)</t>
  </si>
  <si>
    <t>Enter a reference number for your room</t>
  </si>
  <si>
    <t>Enter the name of your room</t>
  </si>
  <si>
    <t>Automatically calculated heating area of Solray panels required to provide the output</t>
  </si>
  <si>
    <t xml:space="preserve">If you need help sizing panels or would like to discuss your requirements, please call us on 
01792 892211 or email sales@solray.co.uk 
</t>
  </si>
  <si>
    <t>Additional notes and instructions for use</t>
  </si>
  <si>
    <t>Outputs do not include cold areas within panels - for example access plates for plasterboard.</t>
  </si>
  <si>
    <t>Mounting height of the panel above the floor in metres</t>
  </si>
  <si>
    <t xml:space="preserve">(d) </t>
  </si>
  <si>
    <t xml:space="preserve">(h) </t>
  </si>
  <si>
    <t>Project Name</t>
  </si>
  <si>
    <t>Date</t>
  </si>
  <si>
    <t>Width of Solray panel: default is 600mm</t>
  </si>
  <si>
    <t>Solray Panel Sizing Tool</t>
  </si>
  <si>
    <t>7th column added, format changed for user experience, linear metre tab added, panel sizer moved to separate tab</t>
  </si>
  <si>
    <t>Radiant Panel Emissions Model and Sizing Tool</t>
  </si>
  <si>
    <t>If you need help sizing panels or would like to discuss your requirements, please call us on 
01792 892211 or email sales@solray.co.uk</t>
  </si>
  <si>
    <t>Panel Sizer Tool</t>
  </si>
  <si>
    <t>(See notes below)</t>
  </si>
  <si>
    <t>You can adjust the ranges for mean water temperature and ambient temperature - just type new numbers into the yellow shaded cells in the table above.</t>
  </si>
  <si>
    <t>m  Mounting height</t>
  </si>
  <si>
    <t>Gap behind, and around edges of, a wall panel in mm</t>
  </si>
  <si>
    <t>by heated panel area</t>
  </si>
  <si>
    <t xml:space="preserve"> </t>
  </si>
  <si>
    <t>Area tab changed to include linear metre; no macros</t>
  </si>
  <si>
    <t>Room Length /mm</t>
  </si>
  <si>
    <t>Room Width /mm</t>
  </si>
  <si>
    <t>Comments</t>
  </si>
  <si>
    <t xml:space="preserve"> °C</t>
  </si>
  <si>
    <t>Solray Tridents or FH Strips</t>
  </si>
  <si>
    <t>Solray DM Perimeters</t>
  </si>
  <si>
    <t>TBC</t>
  </si>
  <si>
    <t>DM Width /mm</t>
  </si>
  <si>
    <t>DM Arrangement</t>
  </si>
  <si>
    <t>D</t>
  </si>
  <si>
    <t>E</t>
  </si>
  <si>
    <t>F</t>
  </si>
  <si>
    <t>G</t>
  </si>
  <si>
    <t>H</t>
  </si>
  <si>
    <t>I</t>
  </si>
  <si>
    <t>J</t>
  </si>
  <si>
    <t>K</t>
  </si>
  <si>
    <t>L</t>
  </si>
  <si>
    <t>M</t>
  </si>
  <si>
    <t>N</t>
  </si>
  <si>
    <t>O</t>
  </si>
  <si>
    <t>P</t>
  </si>
  <si>
    <t>Q</t>
  </si>
  <si>
    <t>R</t>
  </si>
  <si>
    <t>S</t>
  </si>
  <si>
    <t>T</t>
  </si>
  <si>
    <t>U</t>
  </si>
  <si>
    <t>Enter the room width (an internal wall)</t>
  </si>
  <si>
    <t>This is the load per unit floor area, to check no large error in load or lengths</t>
  </si>
  <si>
    <t>Accept the mounting height, copied from the Panel Emissions tab, or over-write with specific value for the room</t>
  </si>
  <si>
    <t>Accept the mounting angle, copied from the Panel Emissions tab, or over-write with specific value for the room</t>
  </si>
  <si>
    <t>Enter the mean water temperature, which should feature in the table on the Emissions tab</t>
  </si>
  <si>
    <t>V</t>
  </si>
  <si>
    <t>*</t>
  </si>
  <si>
    <t>Room Ref No</t>
  </si>
  <si>
    <t xml:space="preserve">Room Name </t>
  </si>
  <si>
    <t xml:space="preserve">Required Heat Load /W </t>
  </si>
  <si>
    <t>Our recommended maximum width to avoid oppressiveness for most people, for the temperatures and mounting height</t>
  </si>
  <si>
    <t xml:space="preserve">Room Resultant Temperature 
/°C </t>
  </si>
  <si>
    <t xml:space="preserve">Load per floor area 
(W/m²) </t>
  </si>
  <si>
    <t>Solray Panel Emission 
(W/m²)</t>
  </si>
  <si>
    <t>Guide max width for comfort 
/mm</t>
  </si>
  <si>
    <t>Heated Area Required/m²</t>
  </si>
  <si>
    <t>Pressure Drops 
/Pa</t>
  </si>
  <si>
    <t>Flow Rate 
(kg/s)</t>
  </si>
  <si>
    <t>Any comments?</t>
  </si>
  <si>
    <t>Notes for each column in table above</t>
  </si>
  <si>
    <t>C</t>
  </si>
  <si>
    <t>Your Ref</t>
  </si>
  <si>
    <t>Panel Emissions</t>
  </si>
  <si>
    <t xml:space="preserve">The table and graph below calculate radiant panel emissions based on your specifications.  Yellow shaded cells require you to input data whilst grey shaded cells calculate themselves based on your inputs. See below for further instructions. </t>
  </si>
  <si>
    <t>Display emissions:</t>
  </si>
  <si>
    <t>Project Mean Water Temp*</t>
  </si>
  <si>
    <t>Extras required in quotation:</t>
  </si>
  <si>
    <t>This spreadsheet contains two tabs in addition to this one:</t>
  </si>
  <si>
    <t>Thank you for downloading and using our radiant panel emissions model and sizing tool.  We hope you find it helpful.</t>
  </si>
  <si>
    <t>Angles are 90°: Ceiling,  0°: Wall,  -90°: Floor,  0°-90°: Angled at another angle</t>
  </si>
  <si>
    <t>You can extend the axes of the graph by removing the minimum value (left click on the axis to select it, then right click to bring up menu , then left click on 'format axis')</t>
  </si>
  <si>
    <t>This calculator is designed to work out the length of Solray panels required given the parameters you enter. 
Yellow cells require you to input information (some have defaults which can be over-written), grey cells calculate themselves.  
See notes below table for additional guidance.</t>
  </si>
  <si>
    <t>This tab models the radiant emissions of our panels for various mean water temperatures and ambient temperatures giving outputs in watts per square metre or watts per linear metre for a given width.  By completing the yellow shaded cells, you can personalise the results to take account of the faceplate material, heating medium, panel width, the panel position and orientation, and any wall gap.</t>
  </si>
  <si>
    <t>This tool enables you to calculate the length of panels you require based on room specifications and your personalised panel outputs</t>
  </si>
  <si>
    <t>Emission Basis</t>
  </si>
  <si>
    <t>increase in convection</t>
  </si>
  <si>
    <t>Mounting Height Angle 
/m        /°</t>
  </si>
  <si>
    <t>Line No</t>
  </si>
  <si>
    <t>Enter the room target resultant temperature</t>
  </si>
  <si>
    <t>Enter the heat load required for your room in watts</t>
  </si>
  <si>
    <t>Enter the room length (the preferred position for the Solray Panel, often the window wall)</t>
  </si>
  <si>
    <t>Automatically calculated length of Solray Tridents/FH required</t>
  </si>
  <si>
    <t>Accept the Solray Trident/FH width, or over-write with specific value for the room</t>
  </si>
  <si>
    <t>Accept the calculated number of Solray Tridents/FHs, or over-write with another number</t>
  </si>
  <si>
    <t>Recommended arrangement for a Solray DM Perimeter</t>
  </si>
  <si>
    <t>Solray DM Perimeter Length for arrangement</t>
  </si>
  <si>
    <t>Solray DM Perimeter Width for arrangement</t>
  </si>
  <si>
    <t>W</t>
  </si>
  <si>
    <t>Accept the Solray Panel Emission in watts per m², or over-write with specific value for the room (will require manual entry for special parameters)</t>
  </si>
  <si>
    <t>Yes</t>
  </si>
  <si>
    <t>No</t>
  </si>
  <si>
    <t>Total DM Length /mm</t>
  </si>
  <si>
    <t>Valves</t>
  </si>
  <si>
    <t>Flexibles</t>
  </si>
  <si>
    <t>Black bulb sensors</t>
  </si>
  <si>
    <t>Drain cocks at all low points</t>
  </si>
  <si>
    <t>Premium encapsulated insulation</t>
  </si>
  <si>
    <t>Installation</t>
  </si>
  <si>
    <t>RAL colour (9010 is standard)</t>
  </si>
  <si>
    <t>Calculation follows for Solray Tridents, SFH Strips and Solray DM Perimeters</t>
  </si>
  <si>
    <t>For help on which (or another) might be the best type applicable for the project, please call us</t>
  </si>
  <si>
    <t>This is the number of connection pairs required for either option, for calculating valves, etc</t>
  </si>
  <si>
    <t>Trident connection pairs</t>
  </si>
  <si>
    <t>DM Connection pairs</t>
  </si>
  <si>
    <t>For a schedule with flow rates and pressure drops, and a quotation, please send this schedule to sales@solray.co.uk</t>
  </si>
  <si>
    <t>Trident or FH Width /mm</t>
  </si>
  <si>
    <t>Number of Tridents or FHs</t>
  </si>
  <si>
    <t xml:space="preserve">Each Trident or FH Length Required /mm </t>
  </si>
  <si>
    <t>Ver 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</si>
</sst>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d\-mmm\-yy"/>
    <numFmt numFmtId="167" formatCode="_-* #,##0_-;\-* #,##0_-;_-* &quot;-&quot;??_-;_-@_-"/>
  </numFmts>
  <fonts count="23" x14ac:knownFonts="1">
    <font>
      <sz val="10"/>
      <name val="Arial"/>
      <family val="2"/>
    </font>
    <font>
      <sz val="10"/>
      <name val="MS Sans Serif"/>
      <family val="2"/>
    </font>
    <font>
      <u/>
      <sz val="7.5"/>
      <color indexed="12"/>
      <name val="Arial"/>
      <family val="2"/>
    </font>
    <font>
      <b/>
      <sz val="10"/>
      <name val="Arial"/>
      <family val="2"/>
    </font>
    <font>
      <b/>
      <i/>
      <sz val="10"/>
      <name val="Arial"/>
      <family val="2"/>
    </font>
    <font>
      <sz val="11"/>
      <name val="Arial"/>
      <family val="2"/>
    </font>
    <font>
      <b/>
      <sz val="11"/>
      <name val="Arial"/>
      <family val="2"/>
    </font>
    <font>
      <sz val="10"/>
      <color indexed="39"/>
      <name val="Arial"/>
      <family val="2"/>
    </font>
    <font>
      <sz val="10"/>
      <color indexed="10"/>
      <name val="Arial"/>
      <family val="2"/>
    </font>
    <font>
      <sz val="10"/>
      <color indexed="17"/>
      <name val="Arial"/>
      <family val="2"/>
    </font>
    <font>
      <sz val="10"/>
      <color indexed="40"/>
      <name val="Arial"/>
      <family val="2"/>
    </font>
    <font>
      <sz val="10"/>
      <color indexed="33"/>
      <name val="Arial"/>
      <family val="2"/>
    </font>
    <font>
      <sz val="10"/>
      <color indexed="16"/>
      <name val="Arial"/>
      <family val="2"/>
    </font>
    <font>
      <i/>
      <sz val="10"/>
      <name val="Arial"/>
      <family val="2"/>
    </font>
    <font>
      <b/>
      <sz val="11"/>
      <color theme="0"/>
      <name val="Arial"/>
      <family val="2"/>
    </font>
    <font>
      <b/>
      <sz val="10"/>
      <color theme="0"/>
      <name val="Arial"/>
      <family val="2"/>
    </font>
    <font>
      <sz val="10"/>
      <color theme="0"/>
      <name val="Arial"/>
      <family val="2"/>
    </font>
    <font>
      <b/>
      <sz val="14"/>
      <color theme="0"/>
      <name val="Arial"/>
      <family val="2"/>
    </font>
    <font>
      <sz val="10"/>
      <color rgb="FF002060"/>
      <name val="Arial"/>
      <family val="2"/>
    </font>
    <font>
      <sz val="10"/>
      <name val="Arial"/>
      <family val="2"/>
    </font>
    <font>
      <b/>
      <sz val="10"/>
      <color theme="1"/>
      <name val="Arial"/>
      <family val="2"/>
    </font>
    <font>
      <sz val="10"/>
      <color theme="1"/>
      <name val="Arial"/>
      <family val="2"/>
    </font>
    <font>
      <b/>
      <sz val="11"/>
      <color theme="1"/>
      <name val="Arial"/>
      <family val="2"/>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
      <patternFill patternType="solid">
        <fgColor rgb="FFCC00CC"/>
        <bgColor indexed="64"/>
      </patternFill>
    </fill>
    <fill>
      <patternFill patternType="solid">
        <fgColor rgb="FF00B050"/>
        <bgColor indexed="64"/>
      </patternFill>
    </fill>
  </fills>
  <borders count="39">
    <border>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s>
  <cellStyleXfs count="4">
    <xf numFmtId="0" fontId="0" fillId="0" borderId="0"/>
    <xf numFmtId="0" fontId="2" fillId="0" borderId="0" applyNumberFormat="0" applyFill="0" applyBorder="0" applyAlignment="0" applyProtection="0">
      <alignment vertical="top"/>
      <protection locked="0"/>
    </xf>
    <xf numFmtId="9" fontId="1" fillId="0" borderId="0" applyFont="0" applyFill="0" applyBorder="0" applyAlignment="0" applyProtection="0"/>
    <xf numFmtId="164" fontId="19" fillId="0" borderId="0" applyFont="0" applyFill="0" applyBorder="0" applyAlignment="0" applyProtection="0"/>
  </cellStyleXfs>
  <cellXfs count="235">
    <xf numFmtId="0" fontId="0" fillId="0" borderId="0" xfId="0"/>
    <xf numFmtId="0" fontId="0" fillId="0" borderId="0" xfId="0" applyProtection="1">
      <protection hidden="1"/>
    </xf>
    <xf numFmtId="165" fontId="0" fillId="3" borderId="1" xfId="0" applyNumberFormat="1" applyFont="1" applyFill="1" applyBorder="1" applyAlignment="1" applyProtection="1">
      <alignment horizontal="center"/>
      <protection hidden="1"/>
    </xf>
    <xf numFmtId="165" fontId="0" fillId="3" borderId="3" xfId="0" applyNumberFormat="1" applyFont="1" applyFill="1" applyBorder="1" applyAlignment="1" applyProtection="1">
      <alignment horizontal="center"/>
      <protection hidden="1"/>
    </xf>
    <xf numFmtId="0" fontId="0" fillId="4" borderId="0" xfId="0" applyFill="1" applyProtection="1">
      <protection hidden="1"/>
    </xf>
    <xf numFmtId="0" fontId="0" fillId="4" borderId="0" xfId="0" applyFont="1" applyFill="1" applyBorder="1" applyProtection="1">
      <protection hidden="1"/>
    </xf>
    <xf numFmtId="0" fontId="5" fillId="4" borderId="0" xfId="0" applyFont="1" applyFill="1" applyProtection="1">
      <protection hidden="1"/>
    </xf>
    <xf numFmtId="0" fontId="14" fillId="5" borderId="0" xfId="0" applyFont="1" applyFill="1" applyBorder="1" applyAlignment="1" applyProtection="1">
      <alignment horizontal="center" vertical="center"/>
      <protection hidden="1"/>
    </xf>
    <xf numFmtId="0" fontId="5" fillId="0" borderId="0" xfId="0" applyFont="1" applyProtection="1">
      <protection hidden="1"/>
    </xf>
    <xf numFmtId="0" fontId="15" fillId="5" borderId="0" xfId="0" applyFont="1" applyFill="1" applyBorder="1" applyProtection="1">
      <protection hidden="1"/>
    </xf>
    <xf numFmtId="0" fontId="0" fillId="4" borderId="0" xfId="0" applyFont="1" applyFill="1" applyProtection="1">
      <protection hidden="1"/>
    </xf>
    <xf numFmtId="0" fontId="0" fillId="4" borderId="0" xfId="0" applyFont="1" applyFill="1" applyAlignment="1" applyProtection="1">
      <alignment horizontal="centerContinuous"/>
      <protection hidden="1"/>
    </xf>
    <xf numFmtId="0" fontId="0" fillId="0" borderId="0" xfId="0" applyFont="1" applyProtection="1">
      <protection hidden="1"/>
    </xf>
    <xf numFmtId="0" fontId="0" fillId="0" borderId="0" xfId="0" applyFont="1" applyAlignment="1" applyProtection="1">
      <alignment horizontal="center"/>
      <protection hidden="1"/>
    </xf>
    <xf numFmtId="0" fontId="0" fillId="0" borderId="7" xfId="0" applyFont="1" applyBorder="1" applyProtection="1">
      <protection hidden="1"/>
    </xf>
    <xf numFmtId="0" fontId="0" fillId="0" borderId="8" xfId="0" applyFont="1" applyBorder="1" applyProtection="1">
      <protection hidden="1"/>
    </xf>
    <xf numFmtId="0" fontId="0" fillId="0" borderId="9" xfId="0" applyFont="1" applyBorder="1" applyProtection="1">
      <protection hidden="1"/>
    </xf>
    <xf numFmtId="0" fontId="16" fillId="5" borderId="10" xfId="0" applyFont="1" applyFill="1" applyBorder="1" applyAlignment="1" applyProtection="1">
      <alignment horizontal="centerContinuous"/>
      <protection hidden="1"/>
    </xf>
    <xf numFmtId="3" fontId="16" fillId="5" borderId="7" xfId="0" applyNumberFormat="1" applyFont="1" applyFill="1" applyBorder="1" applyAlignment="1" applyProtection="1">
      <alignment horizontal="centerContinuous"/>
      <protection hidden="1"/>
    </xf>
    <xf numFmtId="0" fontId="16" fillId="5" borderId="11" xfId="0" applyFont="1" applyFill="1" applyBorder="1" applyAlignment="1" applyProtection="1">
      <alignment horizontal="centerContinuous"/>
      <protection hidden="1"/>
    </xf>
    <xf numFmtId="0" fontId="8" fillId="3" borderId="0" xfId="0" applyFont="1" applyFill="1" applyBorder="1" applyAlignment="1" applyProtection="1">
      <alignment horizontal="center"/>
      <protection hidden="1"/>
    </xf>
    <xf numFmtId="0" fontId="9" fillId="3" borderId="0" xfId="0" applyFont="1" applyFill="1" applyBorder="1" applyAlignment="1" applyProtection="1">
      <alignment horizontal="center"/>
      <protection hidden="1"/>
    </xf>
    <xf numFmtId="0" fontId="10" fillId="3" borderId="0" xfId="0" applyFont="1" applyFill="1" applyBorder="1" applyAlignment="1" applyProtection="1">
      <alignment horizontal="center"/>
      <protection hidden="1"/>
    </xf>
    <xf numFmtId="0" fontId="11" fillId="3" borderId="0" xfId="0" applyFont="1" applyFill="1" applyBorder="1" applyAlignment="1" applyProtection="1">
      <alignment horizontal="center"/>
      <protection hidden="1"/>
    </xf>
    <xf numFmtId="0" fontId="11" fillId="0" borderId="0" xfId="0" applyFont="1" applyAlignment="1" applyProtection="1">
      <alignment horizontal="center"/>
      <protection hidden="1"/>
    </xf>
    <xf numFmtId="0" fontId="7" fillId="0" borderId="8" xfId="0" applyFont="1" applyFill="1" applyBorder="1" applyAlignment="1" applyProtection="1">
      <alignment horizontal="center"/>
      <protection hidden="1"/>
    </xf>
    <xf numFmtId="0" fontId="3" fillId="0" borderId="12" xfId="0" applyFont="1" applyBorder="1" applyProtection="1">
      <protection hidden="1"/>
    </xf>
    <xf numFmtId="0" fontId="3" fillId="0" borderId="12" xfId="0" applyFont="1" applyBorder="1" applyAlignment="1" applyProtection="1">
      <protection hidden="1"/>
    </xf>
    <xf numFmtId="0" fontId="0" fillId="0" borderId="12" xfId="0" applyFont="1" applyBorder="1" applyProtection="1">
      <protection locked="0" hidden="1"/>
    </xf>
    <xf numFmtId="0" fontId="0" fillId="0" borderId="13" xfId="0" applyFont="1" applyBorder="1" applyAlignment="1" applyProtection="1">
      <protection locked="0" hidden="1"/>
    </xf>
    <xf numFmtId="15" fontId="0" fillId="0" borderId="0" xfId="0" applyNumberFormat="1" applyFont="1" applyAlignment="1" applyProtection="1">
      <alignment horizontal="right"/>
      <protection hidden="1"/>
    </xf>
    <xf numFmtId="0" fontId="0" fillId="0" borderId="13" xfId="0" applyFont="1" applyBorder="1" applyAlignment="1" applyProtection="1">
      <protection hidden="1"/>
    </xf>
    <xf numFmtId="16" fontId="0" fillId="0" borderId="0" xfId="0" applyNumberFormat="1" applyFont="1" applyProtection="1">
      <protection hidden="1"/>
    </xf>
    <xf numFmtId="0" fontId="0" fillId="0" borderId="14" xfId="0" applyFont="1" applyBorder="1" applyAlignment="1" applyProtection="1">
      <protection hidden="1"/>
    </xf>
    <xf numFmtId="15" fontId="0" fillId="0" borderId="0" xfId="0" applyNumberFormat="1" applyFont="1" applyProtection="1">
      <protection hidden="1"/>
    </xf>
    <xf numFmtId="0" fontId="0" fillId="0" borderId="14" xfId="0" applyFont="1" applyBorder="1" applyProtection="1">
      <protection hidden="1"/>
    </xf>
    <xf numFmtId="0" fontId="0" fillId="0" borderId="15" xfId="0" applyFont="1" applyBorder="1" applyProtection="1">
      <protection hidden="1"/>
    </xf>
    <xf numFmtId="0" fontId="0" fillId="0" borderId="0" xfId="0" applyFont="1" applyAlignment="1" applyProtection="1">
      <alignment horizontal="left"/>
      <protection locked="0" hidden="1"/>
    </xf>
    <xf numFmtId="0" fontId="0" fillId="4" borderId="0" xfId="0" applyFont="1" applyFill="1" applyAlignment="1" applyProtection="1">
      <alignment horizontal="center"/>
      <protection hidden="1"/>
    </xf>
    <xf numFmtId="0" fontId="0" fillId="4" borderId="0" xfId="0" applyFont="1" applyFill="1" applyBorder="1" applyAlignment="1" applyProtection="1">
      <protection hidden="1"/>
    </xf>
    <xf numFmtId="9" fontId="0" fillId="4" borderId="0" xfId="0" applyNumberFormat="1" applyFont="1" applyFill="1" applyProtection="1">
      <protection hidden="1"/>
    </xf>
    <xf numFmtId="0" fontId="0" fillId="4" borderId="0" xfId="0" applyFont="1" applyFill="1" applyBorder="1" applyProtection="1">
      <protection locked="0" hidden="1"/>
    </xf>
    <xf numFmtId="0" fontId="3" fillId="4" borderId="0" xfId="0" applyFont="1" applyFill="1" applyBorder="1" applyAlignment="1" applyProtection="1">
      <alignment horizontal="left"/>
      <protection hidden="1"/>
    </xf>
    <xf numFmtId="3" fontId="3" fillId="4" borderId="0" xfId="0" applyNumberFormat="1" applyFont="1" applyFill="1" applyBorder="1" applyAlignment="1" applyProtection="1">
      <alignment horizontal="left"/>
      <protection hidden="1"/>
    </xf>
    <xf numFmtId="0" fontId="3" fillId="4" borderId="0" xfId="0" applyFont="1" applyFill="1" applyBorder="1" applyAlignment="1" applyProtection="1">
      <protection hidden="1"/>
    </xf>
    <xf numFmtId="0" fontId="13" fillId="4" borderId="0" xfId="0" applyFont="1" applyFill="1" applyBorder="1" applyProtection="1">
      <protection hidden="1"/>
    </xf>
    <xf numFmtId="0" fontId="16" fillId="5" borderId="16" xfId="0" applyFont="1" applyFill="1" applyBorder="1" applyProtection="1">
      <protection hidden="1"/>
    </xf>
    <xf numFmtId="0" fontId="16" fillId="5" borderId="17" xfId="0" applyFont="1" applyFill="1" applyBorder="1" applyProtection="1">
      <protection hidden="1"/>
    </xf>
    <xf numFmtId="0" fontId="16" fillId="5" borderId="18" xfId="0" applyFont="1" applyFill="1" applyBorder="1" applyProtection="1">
      <protection hidden="1"/>
    </xf>
    <xf numFmtId="0" fontId="0" fillId="3" borderId="19" xfId="0" applyFont="1" applyFill="1" applyBorder="1" applyAlignment="1" applyProtection="1">
      <alignment horizontal="center"/>
      <protection hidden="1"/>
    </xf>
    <xf numFmtId="0" fontId="0" fillId="3" borderId="20" xfId="0" applyFont="1" applyFill="1" applyBorder="1" applyAlignment="1" applyProtection="1">
      <alignment horizontal="center"/>
      <protection hidden="1"/>
    </xf>
    <xf numFmtId="0" fontId="12" fillId="3" borderId="0" xfId="0" applyFont="1" applyFill="1" applyBorder="1" applyAlignment="1" applyProtection="1">
      <alignment horizontal="center"/>
      <protection hidden="1"/>
    </xf>
    <xf numFmtId="0" fontId="7" fillId="3" borderId="0" xfId="0" applyFont="1" applyFill="1" applyBorder="1" applyAlignment="1" applyProtection="1">
      <alignment horizontal="center"/>
      <protection hidden="1"/>
    </xf>
    <xf numFmtId="9" fontId="13" fillId="3" borderId="0" xfId="0" applyNumberFormat="1" applyFont="1" applyFill="1" applyBorder="1" applyProtection="1">
      <protection hidden="1"/>
    </xf>
    <xf numFmtId="0" fontId="15" fillId="5" borderId="16" xfId="0" applyFont="1" applyFill="1" applyBorder="1" applyAlignment="1" applyProtection="1">
      <protection hidden="1"/>
    </xf>
    <xf numFmtId="0" fontId="0" fillId="4" borderId="17" xfId="0" applyFont="1" applyFill="1" applyBorder="1" applyProtection="1">
      <protection hidden="1"/>
    </xf>
    <xf numFmtId="0" fontId="0" fillId="4" borderId="17" xfId="0" applyFont="1" applyFill="1" applyBorder="1" applyAlignment="1" applyProtection="1">
      <alignment horizontal="left"/>
      <protection locked="0" hidden="1"/>
    </xf>
    <xf numFmtId="0" fontId="0" fillId="4" borderId="17" xfId="0" applyFont="1" applyFill="1" applyBorder="1" applyProtection="1">
      <protection locked="0" hidden="1"/>
    </xf>
    <xf numFmtId="0" fontId="0" fillId="4" borderId="18" xfId="0" applyFont="1" applyFill="1" applyBorder="1" applyProtection="1">
      <protection locked="0" hidden="1"/>
    </xf>
    <xf numFmtId="0" fontId="15" fillId="5" borderId="19" xfId="0" applyFont="1" applyFill="1" applyBorder="1" applyProtection="1">
      <protection hidden="1"/>
    </xf>
    <xf numFmtId="0" fontId="0" fillId="4" borderId="21" xfId="0" applyFont="1" applyFill="1" applyBorder="1" applyProtection="1">
      <protection locked="0" hidden="1"/>
    </xf>
    <xf numFmtId="0" fontId="0" fillId="4" borderId="21" xfId="0" applyFont="1" applyFill="1" applyBorder="1" applyProtection="1">
      <protection hidden="1"/>
    </xf>
    <xf numFmtId="0" fontId="15" fillId="5" borderId="20" xfId="0" applyFont="1" applyFill="1" applyBorder="1" applyProtection="1">
      <protection hidden="1"/>
    </xf>
    <xf numFmtId="9" fontId="13" fillId="3" borderId="22" xfId="2" applyFont="1" applyFill="1" applyBorder="1" applyAlignment="1" applyProtection="1">
      <alignment horizontal="right"/>
      <protection hidden="1"/>
    </xf>
    <xf numFmtId="0" fontId="13" fillId="0" borderId="22" xfId="0" applyFont="1" applyBorder="1" applyProtection="1">
      <protection hidden="1"/>
    </xf>
    <xf numFmtId="0" fontId="13" fillId="0" borderId="22" xfId="0" applyFont="1" applyBorder="1" applyAlignment="1" applyProtection="1">
      <alignment horizontal="right"/>
      <protection hidden="1"/>
    </xf>
    <xf numFmtId="9" fontId="15" fillId="4" borderId="22" xfId="0" applyNumberFormat="1" applyFont="1" applyFill="1" applyBorder="1" applyAlignment="1" applyProtection="1">
      <alignment horizontal="center"/>
      <protection hidden="1"/>
    </xf>
    <xf numFmtId="0" fontId="0" fillId="4" borderId="22" xfId="0" applyFont="1" applyFill="1" applyBorder="1" applyProtection="1">
      <protection hidden="1"/>
    </xf>
    <xf numFmtId="0" fontId="0" fillId="4" borderId="23" xfId="0" applyFont="1" applyFill="1" applyBorder="1" applyProtection="1">
      <protection hidden="1"/>
    </xf>
    <xf numFmtId="3" fontId="15" fillId="5" borderId="16" xfId="0" applyNumberFormat="1" applyFont="1" applyFill="1" applyBorder="1" applyAlignment="1" applyProtection="1">
      <alignment horizontal="center"/>
      <protection hidden="1"/>
    </xf>
    <xf numFmtId="3" fontId="15" fillId="5" borderId="24" xfId="0" applyNumberFormat="1" applyFont="1" applyFill="1" applyBorder="1" applyAlignment="1" applyProtection="1">
      <alignment horizontal="centerContinuous"/>
      <protection hidden="1"/>
    </xf>
    <xf numFmtId="0" fontId="15" fillId="5" borderId="17" xfId="0" applyFont="1" applyFill="1" applyBorder="1" applyAlignment="1" applyProtection="1">
      <alignment horizontal="centerContinuous"/>
      <protection hidden="1"/>
    </xf>
    <xf numFmtId="0" fontId="16" fillId="5" borderId="25" xfId="0" applyFont="1" applyFill="1" applyBorder="1" applyAlignment="1" applyProtection="1">
      <alignment horizontal="centerContinuous"/>
      <protection hidden="1"/>
    </xf>
    <xf numFmtId="0" fontId="16" fillId="5" borderId="18" xfId="0" applyFont="1" applyFill="1" applyBorder="1" applyAlignment="1" applyProtection="1">
      <alignment horizontal="centerContinuous"/>
      <protection hidden="1"/>
    </xf>
    <xf numFmtId="3" fontId="15" fillId="5" borderId="19" xfId="0" applyNumberFormat="1" applyFont="1" applyFill="1" applyBorder="1" applyAlignment="1" applyProtection="1">
      <alignment horizontal="center"/>
      <protection hidden="1"/>
    </xf>
    <xf numFmtId="0" fontId="16" fillId="5" borderId="21" xfId="0" applyFont="1" applyFill="1" applyBorder="1" applyAlignment="1" applyProtection="1">
      <alignment horizontal="centerContinuous"/>
      <protection hidden="1"/>
    </xf>
    <xf numFmtId="0" fontId="15" fillId="5" borderId="19" xfId="0" quotePrefix="1" applyFont="1" applyFill="1" applyBorder="1" applyAlignment="1" applyProtection="1">
      <alignment horizontal="center"/>
      <protection hidden="1"/>
    </xf>
    <xf numFmtId="0" fontId="7" fillId="3" borderId="22" xfId="0" applyFont="1" applyFill="1" applyBorder="1" applyAlignment="1" applyProtection="1">
      <alignment horizontal="center"/>
      <protection hidden="1"/>
    </xf>
    <xf numFmtId="0" fontId="8" fillId="3" borderId="22" xfId="0" applyFont="1" applyFill="1" applyBorder="1" applyAlignment="1" applyProtection="1">
      <alignment horizontal="center"/>
      <protection hidden="1"/>
    </xf>
    <xf numFmtId="0" fontId="9" fillId="3" borderId="22" xfId="0" applyFont="1" applyFill="1" applyBorder="1" applyAlignment="1" applyProtection="1">
      <alignment horizontal="center"/>
      <protection hidden="1"/>
    </xf>
    <xf numFmtId="0" fontId="10" fillId="3" borderId="22" xfId="0" applyFont="1" applyFill="1" applyBorder="1" applyAlignment="1" applyProtection="1">
      <alignment horizontal="center"/>
      <protection hidden="1"/>
    </xf>
    <xf numFmtId="0" fontId="11" fillId="3" borderId="22" xfId="0" applyFont="1" applyFill="1" applyBorder="1" applyAlignment="1" applyProtection="1">
      <alignment horizontal="center"/>
      <protection hidden="1"/>
    </xf>
    <xf numFmtId="0" fontId="12" fillId="3" borderId="22" xfId="0" applyFont="1" applyFill="1" applyBorder="1" applyAlignment="1" applyProtection="1">
      <alignment horizontal="center"/>
      <protection hidden="1"/>
    </xf>
    <xf numFmtId="3" fontId="0" fillId="0" borderId="16" xfId="0" applyNumberFormat="1" applyFont="1" applyBorder="1" applyAlignment="1" applyProtection="1">
      <alignment horizontal="center"/>
      <protection hidden="1"/>
    </xf>
    <xf numFmtId="3" fontId="3" fillId="0" borderId="24" xfId="0" applyNumberFormat="1" applyFont="1" applyBorder="1" applyAlignment="1" applyProtection="1">
      <alignment horizontal="centerContinuous"/>
      <protection hidden="1"/>
    </xf>
    <xf numFmtId="0" fontId="3" fillId="0" borderId="17" xfId="0" applyFont="1" applyBorder="1" applyAlignment="1" applyProtection="1">
      <alignment horizontal="centerContinuous"/>
      <protection hidden="1"/>
    </xf>
    <xf numFmtId="0" fontId="0" fillId="0" borderId="17" xfId="0" applyFont="1" applyBorder="1" applyAlignment="1" applyProtection="1">
      <alignment horizontal="centerContinuous"/>
      <protection hidden="1"/>
    </xf>
    <xf numFmtId="0" fontId="0" fillId="0" borderId="18" xfId="0" applyFont="1" applyBorder="1" applyAlignment="1" applyProtection="1">
      <alignment horizontal="centerContinuous"/>
      <protection hidden="1"/>
    </xf>
    <xf numFmtId="3" fontId="0" fillId="0" borderId="19" xfId="0" applyNumberFormat="1" applyFont="1" applyBorder="1" applyAlignment="1" applyProtection="1">
      <alignment horizontal="center"/>
      <protection hidden="1"/>
    </xf>
    <xf numFmtId="0" fontId="0" fillId="0" borderId="19" xfId="0" quotePrefix="1" applyFont="1" applyBorder="1" applyAlignment="1" applyProtection="1">
      <alignment horizontal="center"/>
      <protection hidden="1"/>
    </xf>
    <xf numFmtId="3" fontId="3" fillId="0" borderId="19" xfId="0" applyNumberFormat="1" applyFont="1" applyBorder="1" applyAlignment="1" applyProtection="1">
      <alignment horizontal="center"/>
      <protection hidden="1"/>
    </xf>
    <xf numFmtId="0" fontId="8" fillId="0" borderId="0" xfId="0" applyFont="1" applyBorder="1" applyAlignment="1" applyProtection="1">
      <alignment horizontal="center"/>
      <protection hidden="1"/>
    </xf>
    <xf numFmtId="0" fontId="9" fillId="0" borderId="0" xfId="0" applyFont="1" applyBorder="1" applyAlignment="1" applyProtection="1">
      <alignment horizontal="center"/>
      <protection hidden="1"/>
    </xf>
    <xf numFmtId="0" fontId="10" fillId="0" borderId="0" xfId="0" applyFont="1" applyBorder="1" applyAlignment="1" applyProtection="1">
      <alignment horizontal="center"/>
      <protection hidden="1"/>
    </xf>
    <xf numFmtId="0" fontId="11" fillId="0" borderId="0" xfId="0" applyFont="1" applyBorder="1" applyAlignment="1" applyProtection="1">
      <alignment horizontal="center"/>
      <protection hidden="1"/>
    </xf>
    <xf numFmtId="3" fontId="3" fillId="0" borderId="20" xfId="0" applyNumberFormat="1" applyFont="1" applyBorder="1" applyAlignment="1" applyProtection="1">
      <alignment horizontal="center"/>
      <protection hidden="1"/>
    </xf>
    <xf numFmtId="0" fontId="7" fillId="0" borderId="26" xfId="0" applyFont="1" applyFill="1" applyBorder="1" applyAlignment="1" applyProtection="1">
      <alignment horizontal="center"/>
      <protection hidden="1"/>
    </xf>
    <xf numFmtId="0" fontId="8" fillId="0" borderId="22" xfId="0" applyFont="1" applyBorder="1" applyAlignment="1" applyProtection="1">
      <alignment horizontal="center"/>
      <protection hidden="1"/>
    </xf>
    <xf numFmtId="0" fontId="9" fillId="0" borderId="22" xfId="0" applyFont="1" applyBorder="1" applyAlignment="1" applyProtection="1">
      <alignment horizontal="center"/>
      <protection hidden="1"/>
    </xf>
    <xf numFmtId="0" fontId="10" fillId="0" borderId="22" xfId="0" applyFont="1" applyBorder="1" applyAlignment="1" applyProtection="1">
      <alignment horizontal="center"/>
      <protection hidden="1"/>
    </xf>
    <xf numFmtId="0" fontId="11" fillId="0" borderId="22" xfId="0" applyFont="1" applyBorder="1" applyAlignment="1" applyProtection="1">
      <alignment horizontal="center"/>
      <protection hidden="1"/>
    </xf>
    <xf numFmtId="3" fontId="0" fillId="0" borderId="12" xfId="0" applyNumberFormat="1" applyFont="1" applyBorder="1" applyAlignment="1" applyProtection="1">
      <alignment horizontal="centerContinuous"/>
      <protection hidden="1"/>
    </xf>
    <xf numFmtId="0" fontId="0" fillId="0" borderId="12" xfId="0" applyFont="1" applyBorder="1" applyAlignment="1" applyProtection="1">
      <alignment horizontal="centerContinuous"/>
      <protection hidden="1"/>
    </xf>
    <xf numFmtId="0" fontId="3" fillId="0" borderId="12" xfId="0" applyFont="1" applyBorder="1" applyAlignment="1" applyProtection="1">
      <alignment horizontal="center"/>
      <protection hidden="1"/>
    </xf>
    <xf numFmtId="0" fontId="14" fillId="4" borderId="0" xfId="0" applyFont="1" applyFill="1" applyBorder="1" applyAlignment="1" applyProtection="1">
      <alignment horizontal="right" vertical="center"/>
      <protection hidden="1"/>
    </xf>
    <xf numFmtId="0" fontId="5" fillId="4" borderId="0" xfId="0" applyFont="1" applyFill="1" applyBorder="1" applyProtection="1">
      <protection hidden="1"/>
    </xf>
    <xf numFmtId="0" fontId="3" fillId="4" borderId="0" xfId="0" applyFont="1" applyFill="1" applyAlignment="1" applyProtection="1">
      <alignment horizontal="center" wrapText="1"/>
      <protection hidden="1"/>
    </xf>
    <xf numFmtId="0" fontId="6" fillId="4" borderId="0" xfId="0" applyFont="1" applyFill="1" applyBorder="1" applyAlignment="1" applyProtection="1">
      <alignment vertical="center"/>
      <protection hidden="1"/>
    </xf>
    <xf numFmtId="14" fontId="0" fillId="0" borderId="0" xfId="0" applyNumberFormat="1" applyFont="1" applyProtection="1">
      <protection hidden="1"/>
    </xf>
    <xf numFmtId="0" fontId="3" fillId="4" borderId="0" xfId="0" applyFont="1" applyFill="1" applyAlignment="1" applyProtection="1">
      <alignment horizontal="left" vertical="top" wrapText="1"/>
      <protection hidden="1"/>
    </xf>
    <xf numFmtId="0" fontId="3" fillId="4" borderId="0" xfId="0" applyFont="1" applyFill="1" applyAlignment="1" applyProtection="1">
      <alignment wrapText="1"/>
      <protection hidden="1"/>
    </xf>
    <xf numFmtId="0" fontId="18" fillId="3" borderId="21" xfId="0" applyFont="1" applyFill="1" applyBorder="1" applyAlignment="1" applyProtection="1">
      <alignment horizontal="center"/>
      <protection hidden="1"/>
    </xf>
    <xf numFmtId="0" fontId="18" fillId="3" borderId="23" xfId="0" applyFont="1" applyFill="1" applyBorder="1" applyAlignment="1" applyProtection="1">
      <alignment horizontal="center"/>
      <protection hidden="1"/>
    </xf>
    <xf numFmtId="0" fontId="18" fillId="0" borderId="21" xfId="0" applyFont="1" applyBorder="1" applyAlignment="1" applyProtection="1">
      <alignment horizontal="center"/>
      <protection hidden="1"/>
    </xf>
    <xf numFmtId="0" fontId="18" fillId="0" borderId="23" xfId="0" applyFont="1" applyBorder="1" applyAlignment="1" applyProtection="1">
      <alignment horizontal="center"/>
      <protection hidden="1"/>
    </xf>
    <xf numFmtId="3" fontId="0" fillId="0" borderId="0" xfId="0" applyNumberFormat="1" applyFont="1" applyProtection="1">
      <protection hidden="1"/>
    </xf>
    <xf numFmtId="3" fontId="0" fillId="3" borderId="1" xfId="0" applyNumberFormat="1" applyFont="1" applyFill="1" applyBorder="1" applyAlignment="1" applyProtection="1">
      <alignment horizontal="center"/>
      <protection hidden="1"/>
    </xf>
    <xf numFmtId="3" fontId="0" fillId="3" borderId="3" xfId="0" applyNumberFormat="1" applyFont="1" applyFill="1" applyBorder="1" applyAlignment="1" applyProtection="1">
      <alignment horizontal="center"/>
      <protection hidden="1"/>
    </xf>
    <xf numFmtId="1" fontId="0" fillId="2" borderId="1" xfId="0" applyNumberFormat="1" applyFont="1" applyFill="1" applyBorder="1" applyAlignment="1" applyProtection="1">
      <alignment horizontal="center"/>
      <protection locked="0" hidden="1"/>
    </xf>
    <xf numFmtId="0" fontId="0" fillId="4" borderId="0" xfId="0" applyFont="1" applyFill="1" applyBorder="1" applyAlignment="1" applyProtection="1">
      <alignment horizontal="right" vertical="center"/>
      <protection hidden="1"/>
    </xf>
    <xf numFmtId="0" fontId="0" fillId="4" borderId="0" xfId="0" applyFont="1" applyFill="1" applyBorder="1" applyAlignment="1" applyProtection="1">
      <alignment horizontal="left"/>
      <protection hidden="1"/>
    </xf>
    <xf numFmtId="0" fontId="3" fillId="4" borderId="0" xfId="0" applyFont="1" applyFill="1" applyBorder="1" applyAlignment="1" applyProtection="1">
      <alignment horizontal="left" vertical="center"/>
      <protection hidden="1"/>
    </xf>
    <xf numFmtId="0" fontId="0" fillId="4" borderId="0" xfId="0" applyFont="1" applyFill="1" applyBorder="1" applyAlignment="1" applyProtection="1">
      <alignment vertical="center"/>
      <protection hidden="1"/>
    </xf>
    <xf numFmtId="0" fontId="15" fillId="4" borderId="0" xfId="0" applyFont="1" applyFill="1" applyBorder="1" applyAlignment="1" applyProtection="1">
      <alignment horizontal="centerContinuous"/>
      <protection hidden="1"/>
    </xf>
    <xf numFmtId="14" fontId="3" fillId="4" borderId="0" xfId="0" applyNumberFormat="1" applyFont="1" applyFill="1" applyBorder="1" applyAlignment="1" applyProtection="1">
      <alignment horizontal="centerContinuous"/>
      <protection hidden="1"/>
    </xf>
    <xf numFmtId="0" fontId="3" fillId="4" borderId="0" xfId="0" applyFont="1" applyFill="1" applyAlignment="1" applyProtection="1">
      <alignment horizontal="center" vertical="center" wrapText="1"/>
      <protection hidden="1"/>
    </xf>
    <xf numFmtId="0" fontId="0" fillId="4" borderId="0" xfId="0" applyFill="1" applyAlignment="1" applyProtection="1">
      <alignment vertical="center"/>
      <protection hidden="1"/>
    </xf>
    <xf numFmtId="0" fontId="0" fillId="2" borderId="1" xfId="0" applyFont="1" applyFill="1" applyBorder="1" applyAlignment="1" applyProtection="1">
      <alignment horizontal="center" vertical="center"/>
      <protection locked="0" hidden="1"/>
    </xf>
    <xf numFmtId="0" fontId="0" fillId="2" borderId="3" xfId="0" applyFont="1" applyFill="1" applyBorder="1" applyAlignment="1" applyProtection="1">
      <alignment horizontal="center" vertical="center"/>
      <protection locked="0" hidden="1"/>
    </xf>
    <xf numFmtId="0" fontId="0" fillId="0" borderId="0" xfId="0" applyAlignment="1" applyProtection="1">
      <alignment vertical="center"/>
      <protection hidden="1"/>
    </xf>
    <xf numFmtId="0" fontId="0" fillId="0" borderId="0" xfId="0" applyProtection="1">
      <protection locked="0" hidden="1"/>
    </xf>
    <xf numFmtId="0" fontId="15" fillId="5" borderId="27" xfId="0" applyFont="1" applyFill="1" applyBorder="1" applyAlignment="1" applyProtection="1">
      <alignment horizontal="center" vertical="center" wrapText="1"/>
      <protection hidden="1"/>
    </xf>
    <xf numFmtId="0" fontId="15" fillId="5" borderId="28" xfId="0" applyFont="1" applyFill="1" applyBorder="1" applyAlignment="1" applyProtection="1">
      <alignment horizontal="center" vertical="center" wrapText="1"/>
      <protection hidden="1"/>
    </xf>
    <xf numFmtId="0" fontId="15" fillId="5" borderId="28" xfId="0" quotePrefix="1" applyFont="1" applyFill="1" applyBorder="1" applyAlignment="1" applyProtection="1">
      <alignment horizontal="center" vertical="center" wrapText="1"/>
      <protection hidden="1"/>
    </xf>
    <xf numFmtId="0" fontId="15" fillId="5" borderId="29" xfId="0" applyFont="1" applyFill="1" applyBorder="1" applyAlignment="1" applyProtection="1">
      <alignment horizontal="center" vertical="center" wrapText="1"/>
      <protection hidden="1"/>
    </xf>
    <xf numFmtId="0" fontId="15" fillId="5" borderId="29" xfId="0" applyFont="1" applyFill="1" applyBorder="1" applyAlignment="1" applyProtection="1">
      <alignment horizontal="centerContinuous" vertical="center" wrapText="1"/>
      <protection hidden="1"/>
    </xf>
    <xf numFmtId="0" fontId="15" fillId="5" borderId="30" xfId="0" applyFont="1" applyFill="1" applyBorder="1" applyAlignment="1" applyProtection="1">
      <alignment horizontal="centerContinuous" vertical="center" wrapText="1"/>
      <protection hidden="1"/>
    </xf>
    <xf numFmtId="0" fontId="15" fillId="7" borderId="28" xfId="0" quotePrefix="1" applyFont="1" applyFill="1" applyBorder="1" applyAlignment="1" applyProtection="1">
      <alignment horizontal="center" vertical="center" wrapText="1"/>
      <protection hidden="1"/>
    </xf>
    <xf numFmtId="0" fontId="15" fillId="7" borderId="28" xfId="0" applyFont="1" applyFill="1" applyBorder="1" applyAlignment="1" applyProtection="1">
      <alignment horizontal="center" vertical="center" wrapText="1"/>
      <protection hidden="1"/>
    </xf>
    <xf numFmtId="0" fontId="15" fillId="7" borderId="31" xfId="0" applyFont="1" applyFill="1" applyBorder="1" applyAlignment="1" applyProtection="1">
      <alignment horizontal="center" vertical="center" wrapText="1"/>
      <protection hidden="1"/>
    </xf>
    <xf numFmtId="0" fontId="15" fillId="6" borderId="31" xfId="0" applyFont="1" applyFill="1" applyBorder="1" applyAlignment="1" applyProtection="1">
      <alignment horizontal="center" vertical="center" wrapText="1"/>
      <protection hidden="1"/>
    </xf>
    <xf numFmtId="1" fontId="0" fillId="2" borderId="3" xfId="0" applyNumberFormat="1" applyFont="1" applyFill="1" applyBorder="1" applyAlignment="1" applyProtection="1">
      <alignment horizontal="center"/>
      <protection locked="0" hidden="1"/>
    </xf>
    <xf numFmtId="3" fontId="0" fillId="3" borderId="2" xfId="0" applyNumberFormat="1" applyFont="1" applyFill="1" applyBorder="1" applyAlignment="1" applyProtection="1">
      <alignment horizontal="center"/>
      <protection hidden="1"/>
    </xf>
    <xf numFmtId="3" fontId="0" fillId="3" borderId="4" xfId="0" applyNumberFormat="1" applyFont="1" applyFill="1" applyBorder="1" applyAlignment="1" applyProtection="1">
      <alignment horizontal="center"/>
      <protection hidden="1"/>
    </xf>
    <xf numFmtId="0" fontId="15" fillId="8" borderId="31" xfId="0" applyFont="1" applyFill="1" applyBorder="1" applyAlignment="1" applyProtection="1">
      <alignment horizontal="center" vertical="center" wrapText="1"/>
      <protection hidden="1"/>
    </xf>
    <xf numFmtId="9" fontId="3" fillId="2" borderId="0" xfId="0" applyNumberFormat="1" applyFont="1" applyFill="1" applyProtection="1">
      <protection hidden="1"/>
    </xf>
    <xf numFmtId="0" fontId="17" fillId="4" borderId="0" xfId="0" applyFont="1" applyFill="1" applyAlignment="1" applyProtection="1">
      <alignment horizontal="centerContinuous"/>
      <protection hidden="1"/>
    </xf>
    <xf numFmtId="0" fontId="4" fillId="4" borderId="0" xfId="0" applyFont="1" applyFill="1" applyAlignment="1" applyProtection="1">
      <alignment wrapText="1"/>
      <protection hidden="1"/>
    </xf>
    <xf numFmtId="14" fontId="15" fillId="7" borderId="32" xfId="0" applyNumberFormat="1" applyFont="1" applyFill="1" applyBorder="1" applyAlignment="1" applyProtection="1">
      <alignment horizontal="centerContinuous"/>
      <protection hidden="1"/>
    </xf>
    <xf numFmtId="0" fontId="15" fillId="7" borderId="33" xfId="0" applyFont="1" applyFill="1" applyBorder="1" applyAlignment="1" applyProtection="1">
      <alignment horizontal="centerContinuous" vertical="top"/>
      <protection hidden="1"/>
    </xf>
    <xf numFmtId="0" fontId="15" fillId="7" borderId="35" xfId="0" applyFont="1" applyFill="1" applyBorder="1" applyAlignment="1" applyProtection="1">
      <alignment horizontal="centerContinuous"/>
      <protection hidden="1"/>
    </xf>
    <xf numFmtId="0" fontId="15" fillId="5" borderId="16" xfId="0" applyFont="1" applyFill="1" applyBorder="1" applyProtection="1">
      <protection hidden="1"/>
    </xf>
    <xf numFmtId="0" fontId="15" fillId="5" borderId="17" xfId="0" applyFont="1" applyFill="1" applyBorder="1" applyProtection="1">
      <protection hidden="1"/>
    </xf>
    <xf numFmtId="0" fontId="15" fillId="5" borderId="17" xfId="0" applyFont="1" applyFill="1" applyBorder="1" applyAlignment="1" applyProtection="1">
      <alignment vertical="center"/>
      <protection hidden="1"/>
    </xf>
    <xf numFmtId="0" fontId="15" fillId="5" borderId="18" xfId="0" applyFont="1" applyFill="1" applyBorder="1" applyProtection="1">
      <protection hidden="1"/>
    </xf>
    <xf numFmtId="0" fontId="0" fillId="4" borderId="19" xfId="0" applyFill="1" applyBorder="1" applyProtection="1">
      <protection hidden="1"/>
    </xf>
    <xf numFmtId="0" fontId="0" fillId="4" borderId="0" xfId="0" applyFill="1" applyBorder="1" applyProtection="1">
      <protection hidden="1"/>
    </xf>
    <xf numFmtId="0" fontId="3" fillId="4" borderId="19" xfId="0" applyFont="1" applyFill="1" applyBorder="1" applyProtection="1">
      <protection hidden="1"/>
    </xf>
    <xf numFmtId="0" fontId="0" fillId="4" borderId="21" xfId="0" applyFill="1" applyBorder="1" applyProtection="1">
      <protection hidden="1"/>
    </xf>
    <xf numFmtId="0" fontId="0" fillId="4" borderId="20" xfId="0" applyFill="1" applyBorder="1" applyProtection="1">
      <protection hidden="1"/>
    </xf>
    <xf numFmtId="0" fontId="0" fillId="4" borderId="22" xfId="0" applyFill="1" applyBorder="1" applyProtection="1">
      <protection hidden="1"/>
    </xf>
    <xf numFmtId="0" fontId="0" fillId="4" borderId="23" xfId="0" applyFill="1" applyBorder="1" applyProtection="1">
      <protection hidden="1"/>
    </xf>
    <xf numFmtId="0" fontId="0" fillId="4" borderId="0" xfId="0" applyFill="1" applyProtection="1">
      <protection locked="0" hidden="1"/>
    </xf>
    <xf numFmtId="0" fontId="0" fillId="4" borderId="0" xfId="0" applyFill="1" applyBorder="1" applyAlignment="1" applyProtection="1">
      <alignment horizontal="left"/>
      <protection hidden="1"/>
    </xf>
    <xf numFmtId="0" fontId="0" fillId="4" borderId="21" xfId="0" applyFill="1" applyBorder="1" applyAlignment="1" applyProtection="1">
      <alignment horizontal="left"/>
      <protection hidden="1"/>
    </xf>
    <xf numFmtId="0" fontId="0" fillId="4" borderId="0" xfId="0" applyFill="1" applyBorder="1" applyAlignment="1" applyProtection="1">
      <alignment horizontal="left" wrapText="1"/>
      <protection hidden="1"/>
    </xf>
    <xf numFmtId="0" fontId="0" fillId="4" borderId="21" xfId="0" applyFill="1" applyBorder="1" applyAlignment="1" applyProtection="1">
      <alignment horizontal="left" wrapText="1"/>
      <protection hidden="1"/>
    </xf>
    <xf numFmtId="0" fontId="3" fillId="4" borderId="0" xfId="0" applyFont="1" applyFill="1" applyBorder="1" applyProtection="1">
      <protection hidden="1"/>
    </xf>
    <xf numFmtId="3" fontId="21" fillId="3" borderId="2" xfId="0" applyNumberFormat="1" applyFont="1" applyFill="1" applyBorder="1" applyAlignment="1" applyProtection="1">
      <alignment horizontal="center"/>
      <protection hidden="1"/>
    </xf>
    <xf numFmtId="0" fontId="0" fillId="2" borderId="0" xfId="0" applyFill="1" applyBorder="1" applyAlignment="1" applyProtection="1">
      <alignment horizontal="left"/>
      <protection locked="0" hidden="1"/>
    </xf>
    <xf numFmtId="0" fontId="15" fillId="5" borderId="0" xfId="0" applyFont="1" applyFill="1" applyBorder="1" applyAlignment="1" applyProtection="1">
      <alignment vertical="center"/>
      <protection hidden="1"/>
    </xf>
    <xf numFmtId="0" fontId="20" fillId="2" borderId="0" xfId="0" applyFont="1" applyFill="1" applyBorder="1" applyAlignment="1" applyProtection="1">
      <protection hidden="1"/>
    </xf>
    <xf numFmtId="166" fontId="0" fillId="2" borderId="0" xfId="0" applyNumberFormat="1" applyFont="1" applyFill="1" applyBorder="1" applyAlignment="1" applyProtection="1">
      <protection locked="0" hidden="1"/>
    </xf>
    <xf numFmtId="0" fontId="3" fillId="3" borderId="0" xfId="0" applyNumberFormat="1" applyFont="1" applyFill="1" applyBorder="1" applyAlignment="1" applyProtection="1">
      <alignment vertical="top"/>
      <protection hidden="1"/>
    </xf>
    <xf numFmtId="0" fontId="3" fillId="3" borderId="0" xfId="0" applyNumberFormat="1" applyFont="1" applyFill="1" applyBorder="1" applyAlignment="1" applyProtection="1">
      <alignment vertical="top" wrapText="1"/>
      <protection hidden="1"/>
    </xf>
    <xf numFmtId="14" fontId="6" fillId="4" borderId="0" xfId="0" applyNumberFormat="1" applyFont="1" applyFill="1" applyBorder="1" applyAlignment="1" applyProtection="1">
      <alignment vertical="center"/>
      <protection hidden="1"/>
    </xf>
    <xf numFmtId="14" fontId="6" fillId="3" borderId="0" xfId="0" applyNumberFormat="1" applyFont="1" applyFill="1" applyBorder="1" applyAlignment="1" applyProtection="1">
      <alignment vertical="center"/>
      <protection hidden="1"/>
    </xf>
    <xf numFmtId="0" fontId="0" fillId="4" borderId="0" xfId="0" applyFont="1" applyFill="1" applyProtection="1">
      <protection locked="0" hidden="1"/>
    </xf>
    <xf numFmtId="0" fontId="0" fillId="4" borderId="13" xfId="0" applyFont="1" applyFill="1" applyBorder="1" applyProtection="1">
      <protection locked="0" hidden="1"/>
    </xf>
    <xf numFmtId="9" fontId="0" fillId="4" borderId="10" xfId="0" applyNumberFormat="1" applyFont="1" applyFill="1" applyBorder="1" applyProtection="1">
      <protection hidden="1"/>
    </xf>
    <xf numFmtId="9" fontId="0" fillId="4" borderId="36" xfId="0" applyNumberFormat="1" applyFont="1" applyFill="1" applyBorder="1" applyProtection="1">
      <protection hidden="1"/>
    </xf>
    <xf numFmtId="0" fontId="0" fillId="4" borderId="0" xfId="0" applyFont="1" applyFill="1" applyBorder="1" applyAlignment="1" applyProtection="1">
      <alignment horizontal="left"/>
      <protection locked="0" hidden="1"/>
    </xf>
    <xf numFmtId="0" fontId="2" fillId="0" borderId="0" xfId="1" applyAlignment="1" applyProtection="1">
      <protection hidden="1"/>
    </xf>
    <xf numFmtId="0" fontId="13" fillId="0" borderId="22" xfId="0" applyFont="1" applyBorder="1" applyAlignment="1" applyProtection="1">
      <protection hidden="1"/>
    </xf>
    <xf numFmtId="0" fontId="20" fillId="2" borderId="0" xfId="0" applyFont="1" applyFill="1" applyBorder="1" applyAlignment="1" applyProtection="1">
      <alignment vertical="center" wrapText="1"/>
      <protection locked="0" hidden="1"/>
    </xf>
    <xf numFmtId="0" fontId="20" fillId="2" borderId="0" xfId="0" applyFont="1" applyFill="1" applyBorder="1" applyAlignment="1" applyProtection="1">
      <alignment horizontal="left" vertical="top"/>
      <protection locked="0" hidden="1"/>
    </xf>
    <xf numFmtId="0" fontId="0" fillId="2" borderId="0" xfId="0" applyFont="1" applyFill="1" applyBorder="1" applyAlignment="1" applyProtection="1">
      <alignment horizontal="center" vertical="top"/>
      <protection locked="0" hidden="1"/>
    </xf>
    <xf numFmtId="0" fontId="3" fillId="0" borderId="17" xfId="0" applyFont="1" applyFill="1" applyBorder="1" applyAlignment="1" applyProtection="1">
      <alignment horizontal="right"/>
      <protection hidden="1"/>
    </xf>
    <xf numFmtId="0" fontId="3" fillId="0" borderId="0" xfId="0" applyFont="1" applyFill="1" applyBorder="1" applyAlignment="1" applyProtection="1">
      <alignment horizontal="right"/>
      <protection hidden="1"/>
    </xf>
    <xf numFmtId="1" fontId="3" fillId="2" borderId="0" xfId="0" applyNumberFormat="1" applyFont="1" applyFill="1" applyBorder="1" applyAlignment="1" applyProtection="1">
      <alignment horizontal="right"/>
      <protection locked="0" hidden="1"/>
    </xf>
    <xf numFmtId="0" fontId="3" fillId="2" borderId="0" xfId="0" applyNumberFormat="1" applyFont="1" applyFill="1" applyBorder="1" applyAlignment="1" applyProtection="1">
      <alignment horizontal="right"/>
      <protection locked="0" hidden="1"/>
    </xf>
    <xf numFmtId="0" fontId="3" fillId="2" borderId="0" xfId="0" applyFont="1" applyFill="1" applyBorder="1" applyProtection="1">
      <protection locked="0" hidden="1"/>
    </xf>
    <xf numFmtId="0" fontId="3" fillId="2" borderId="8" xfId="0" applyFont="1" applyFill="1" applyBorder="1" applyAlignment="1" applyProtection="1">
      <alignment horizontal="center"/>
      <protection locked="0" hidden="1"/>
    </xf>
    <xf numFmtId="0" fontId="3" fillId="2" borderId="0" xfId="0" applyFont="1" applyFill="1" applyBorder="1" applyAlignment="1" applyProtection="1">
      <alignment horizontal="center"/>
      <protection locked="0" hidden="1"/>
    </xf>
    <xf numFmtId="0" fontId="3" fillId="2" borderId="21" xfId="0" applyFont="1" applyFill="1" applyBorder="1" applyAlignment="1" applyProtection="1">
      <alignment horizontal="center"/>
      <protection locked="0" hidden="1"/>
    </xf>
    <xf numFmtId="3" fontId="3" fillId="2" borderId="19" xfId="0" applyNumberFormat="1" applyFont="1" applyFill="1" applyBorder="1" applyAlignment="1" applyProtection="1">
      <alignment horizontal="center"/>
      <protection locked="0" hidden="1"/>
    </xf>
    <xf numFmtId="3" fontId="3" fillId="2" borderId="20" xfId="0" applyNumberFormat="1" applyFont="1" applyFill="1" applyBorder="1" applyAlignment="1" applyProtection="1">
      <alignment horizontal="center"/>
      <protection locked="0" hidden="1"/>
    </xf>
    <xf numFmtId="0" fontId="0" fillId="0" borderId="0" xfId="0" applyFont="1" applyProtection="1">
      <protection locked="0" hidden="1"/>
    </xf>
    <xf numFmtId="0" fontId="0" fillId="0" borderId="0" xfId="0" applyFont="1" applyBorder="1" applyProtection="1">
      <protection locked="0" hidden="1"/>
    </xf>
    <xf numFmtId="0" fontId="0" fillId="0" borderId="7" xfId="0" applyFont="1" applyFill="1" applyBorder="1" applyProtection="1">
      <protection locked="0" hidden="1"/>
    </xf>
    <xf numFmtId="0" fontId="0" fillId="0" borderId="9" xfId="0" applyFont="1" applyBorder="1" applyProtection="1">
      <protection locked="0" hidden="1"/>
    </xf>
    <xf numFmtId="0" fontId="3" fillId="4" borderId="0" xfId="0" applyFont="1" applyFill="1" applyProtection="1">
      <protection hidden="1"/>
    </xf>
    <xf numFmtId="0" fontId="3" fillId="4" borderId="0" xfId="0" applyFont="1" applyFill="1" applyAlignment="1" applyProtection="1">
      <alignment horizontal="center"/>
      <protection hidden="1"/>
    </xf>
    <xf numFmtId="166" fontId="6" fillId="3" borderId="0" xfId="0" applyNumberFormat="1" applyFont="1" applyFill="1" applyBorder="1" applyAlignment="1" applyProtection="1">
      <alignment vertical="center"/>
      <protection hidden="1"/>
    </xf>
    <xf numFmtId="1" fontId="0" fillId="3" borderId="5" xfId="0" applyNumberFormat="1" applyFont="1" applyFill="1" applyBorder="1" applyAlignment="1" applyProtection="1">
      <alignment horizontal="center"/>
      <protection hidden="1"/>
    </xf>
    <xf numFmtId="1" fontId="0" fillId="3" borderId="6" xfId="0" applyNumberFormat="1" applyFont="1" applyFill="1" applyBorder="1" applyAlignment="1" applyProtection="1">
      <alignment horizontal="center"/>
      <protection hidden="1"/>
    </xf>
    <xf numFmtId="0" fontId="0" fillId="2" borderId="1" xfId="0" applyFont="1" applyFill="1" applyBorder="1" applyAlignment="1" applyProtection="1">
      <alignment horizontal="center"/>
      <protection locked="0"/>
    </xf>
    <xf numFmtId="167" fontId="0" fillId="2" borderId="1" xfId="3" applyNumberFormat="1"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167" fontId="0" fillId="2" borderId="3" xfId="3" applyNumberFormat="1" applyFont="1" applyFill="1" applyBorder="1" applyAlignment="1" applyProtection="1">
      <alignment horizontal="center"/>
      <protection locked="0"/>
    </xf>
    <xf numFmtId="0" fontId="0" fillId="2" borderId="38" xfId="0" applyFont="1" applyFill="1" applyBorder="1" applyAlignment="1" applyProtection="1">
      <alignment horizontal="center"/>
      <protection locked="0"/>
    </xf>
    <xf numFmtId="0" fontId="0" fillId="2" borderId="37" xfId="0" applyFont="1" applyFill="1" applyBorder="1" applyAlignment="1" applyProtection="1">
      <alignment horizontal="center"/>
      <protection locked="0"/>
    </xf>
    <xf numFmtId="0" fontId="16" fillId="4" borderId="0" xfId="0" applyFont="1" applyFill="1" applyBorder="1" applyProtection="1">
      <protection hidden="1"/>
    </xf>
    <xf numFmtId="0" fontId="16" fillId="4" borderId="0" xfId="0" applyFont="1" applyFill="1" applyBorder="1" applyAlignment="1" applyProtection="1">
      <alignment horizontal="left"/>
      <protection hidden="1"/>
    </xf>
    <xf numFmtId="3" fontId="0" fillId="4" borderId="0" xfId="0" applyNumberFormat="1" applyFill="1" applyProtection="1">
      <protection hidden="1"/>
    </xf>
    <xf numFmtId="0" fontId="0" fillId="4" borderId="0" xfId="0" applyFill="1" applyAlignment="1" applyProtection="1">
      <alignment horizontal="left"/>
      <protection hidden="1"/>
    </xf>
    <xf numFmtId="0" fontId="0" fillId="4" borderId="0" xfId="0" applyFill="1" applyAlignment="1" applyProtection="1">
      <alignment horizontal="centerContinuous"/>
      <protection hidden="1"/>
    </xf>
    <xf numFmtId="0" fontId="5" fillId="4" borderId="0" xfId="0" applyFont="1" applyFill="1" applyBorder="1" applyAlignment="1" applyProtection="1">
      <alignment horizontal="centerContinuous"/>
      <protection hidden="1"/>
    </xf>
    <xf numFmtId="0" fontId="5" fillId="4" borderId="0" xfId="0" applyFont="1" applyFill="1" applyBorder="1" applyAlignment="1" applyProtection="1">
      <alignment horizontal="left"/>
      <protection hidden="1"/>
    </xf>
    <xf numFmtId="0" fontId="0" fillId="3" borderId="1" xfId="0" applyFont="1" applyFill="1" applyBorder="1" applyAlignment="1" applyProtection="1">
      <alignment horizontal="center"/>
      <protection locked="0" hidden="1"/>
    </xf>
    <xf numFmtId="0" fontId="0" fillId="3" borderId="3" xfId="0" applyFont="1" applyFill="1" applyBorder="1" applyAlignment="1" applyProtection="1">
      <alignment horizontal="center"/>
      <protection locked="0" hidden="1"/>
    </xf>
    <xf numFmtId="0" fontId="0" fillId="4" borderId="0" xfId="0" applyFill="1" applyAlignment="1" applyProtection="1">
      <alignment horizontal="left" wrapText="1"/>
      <protection hidden="1"/>
    </xf>
    <xf numFmtId="0" fontId="17" fillId="5" borderId="0" xfId="0" applyFont="1" applyFill="1" applyAlignment="1" applyProtection="1">
      <alignment horizontal="center" vertical="center"/>
      <protection hidden="1"/>
    </xf>
    <xf numFmtId="0" fontId="3" fillId="3" borderId="0" xfId="1" applyFont="1" applyFill="1" applyAlignment="1" applyProtection="1">
      <alignment horizontal="center" wrapText="1"/>
      <protection hidden="1"/>
    </xf>
    <xf numFmtId="0" fontId="0" fillId="4" borderId="0" xfId="0" applyFont="1" applyFill="1" applyAlignment="1" applyProtection="1">
      <alignment horizontal="center" wrapText="1"/>
      <protection hidden="1"/>
    </xf>
    <xf numFmtId="0" fontId="0" fillId="4" borderId="0" xfId="0" applyFont="1" applyFill="1" applyAlignment="1" applyProtection="1">
      <alignment horizontal="left" wrapText="1"/>
      <protection hidden="1"/>
    </xf>
    <xf numFmtId="0" fontId="0" fillId="3" borderId="0" xfId="0" applyFont="1" applyFill="1" applyBorder="1" applyAlignment="1" applyProtection="1">
      <alignment horizontal="left"/>
      <protection locked="0" hidden="1"/>
    </xf>
    <xf numFmtId="0" fontId="0" fillId="3" borderId="21" xfId="0" applyFont="1" applyFill="1" applyBorder="1" applyAlignment="1" applyProtection="1">
      <alignment horizontal="left"/>
      <protection locked="0" hidden="1"/>
    </xf>
    <xf numFmtId="0" fontId="0" fillId="3" borderId="22" xfId="0" applyFont="1" applyFill="1" applyBorder="1" applyAlignment="1" applyProtection="1">
      <alignment horizontal="left"/>
      <protection locked="0" hidden="1"/>
    </xf>
    <xf numFmtId="0" fontId="0" fillId="3" borderId="23" xfId="0" applyFont="1" applyFill="1" applyBorder="1" applyAlignment="1" applyProtection="1">
      <alignment horizontal="left"/>
      <protection locked="0" hidden="1"/>
    </xf>
    <xf numFmtId="0" fontId="3" fillId="3" borderId="0" xfId="0" applyFont="1" applyFill="1" applyAlignment="1" applyProtection="1">
      <alignment horizontal="center" wrapText="1"/>
      <protection hidden="1"/>
    </xf>
    <xf numFmtId="14" fontId="15" fillId="6" borderId="33" xfId="0" applyNumberFormat="1" applyFont="1" applyFill="1" applyBorder="1" applyAlignment="1" applyProtection="1">
      <alignment horizontal="center"/>
      <protection hidden="1"/>
    </xf>
    <xf numFmtId="14" fontId="15" fillId="6" borderId="34" xfId="0" applyNumberFormat="1" applyFont="1" applyFill="1" applyBorder="1" applyAlignment="1" applyProtection="1">
      <alignment horizontal="center"/>
      <protection hidden="1"/>
    </xf>
    <xf numFmtId="14" fontId="15" fillId="6" borderId="35" xfId="0" applyNumberFormat="1" applyFont="1" applyFill="1" applyBorder="1" applyAlignment="1" applyProtection="1">
      <alignment horizontal="center"/>
      <protection hidden="1"/>
    </xf>
    <xf numFmtId="0" fontId="22" fillId="3" borderId="0" xfId="0" applyNumberFormat="1" applyFont="1" applyFill="1" applyBorder="1" applyAlignment="1" applyProtection="1">
      <alignment horizontal="center" vertical="center"/>
      <protection hidden="1"/>
    </xf>
  </cellXfs>
  <cellStyles count="4">
    <cellStyle name="Comma" xfId="3" builtinId="3"/>
    <cellStyle name="Hyperlink" xfId="1" builtinId="8"/>
    <cellStyle name="Normal" xfId="0" builtinId="0"/>
    <cellStyle name="Percent" xfId="2" builtinId="5"/>
  </cellStyles>
  <dxfs count="3">
    <dxf>
      <font>
        <color indexed="9"/>
      </font>
    </dxf>
    <dxf>
      <font>
        <color indexed="9"/>
      </font>
    </dxf>
    <dxf>
      <font>
        <color indexed="9"/>
      </font>
    </dxf>
  </dxfs>
  <tableStyles count="0" defaultTableStyle="TableStyleMedium9" defaultPivotStyle="PivotStyleLight16"/>
  <colors>
    <mruColors>
      <color rgb="FFFFFF99"/>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Calculations!$D$33</c:f>
          <c:strCache>
            <c:ptCount val="1"/>
            <c:pt idx="0">
              <c:v>Emissions per area (W/m²)</c:v>
            </c:pt>
          </c:strCache>
        </c:strRef>
      </c:tx>
      <c:layout>
        <c:manualLayout>
          <c:xMode val="edge"/>
          <c:yMode val="edge"/>
          <c:x val="0.32182145906460741"/>
          <c:y val="2.8428034333545991E-2"/>
        </c:manualLayout>
      </c:layout>
      <c:overlay val="0"/>
      <c:spPr>
        <a:noFill/>
        <a:ln w="25400">
          <a:noFill/>
        </a:ln>
      </c:spPr>
      <c:txPr>
        <a:bodyPr/>
        <a:lstStyle/>
        <a:p>
          <a:pPr>
            <a:defRPr sz="14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3430773857876596"/>
          <c:y val="2.2887649817442651E-2"/>
          <c:w val="0.78326173725325754"/>
          <c:h val="0.85785801675189477"/>
        </c:manualLayout>
      </c:layout>
      <c:scatterChart>
        <c:scatterStyle val="lineMarker"/>
        <c:varyColors val="0"/>
        <c:ser>
          <c:idx val="0"/>
          <c:order val="0"/>
          <c:tx>
            <c:strRef>
              <c:f>Calculations!$C$5</c:f>
              <c:strCache>
                <c:ptCount val="1"/>
                <c:pt idx="0">
                  <c:v>16</c:v>
                </c:pt>
              </c:strCache>
            </c:strRef>
          </c:tx>
          <c:spPr>
            <a:ln w="12700">
              <a:solidFill>
                <a:srgbClr val="0000FF"/>
              </a:solidFill>
              <a:prstDash val="solid"/>
            </a:ln>
          </c:spPr>
          <c:marker>
            <c:symbol val="none"/>
          </c:marker>
          <c:xVal>
            <c:numRef>
              <c:f>Calculations!$B$6:$B$18</c:f>
              <c:numCache>
                <c:formatCode>#,##0</c:formatCode>
                <c:ptCount val="13"/>
                <c:pt idx="0">
                  <c:v>60</c:v>
                </c:pt>
                <c:pt idx="1">
                  <c:v>65</c:v>
                </c:pt>
                <c:pt idx="2">
                  <c:v>70</c:v>
                </c:pt>
                <c:pt idx="3">
                  <c:v>75</c:v>
                </c:pt>
                <c:pt idx="4">
                  <c:v>76.67</c:v>
                </c:pt>
                <c:pt idx="5">
                  <c:v>80</c:v>
                </c:pt>
                <c:pt idx="6">
                  <c:v>85</c:v>
                </c:pt>
                <c:pt idx="7">
                  <c:v>90</c:v>
                </c:pt>
                <c:pt idx="8">
                  <c:v>95</c:v>
                </c:pt>
                <c:pt idx="9">
                  <c:v>100</c:v>
                </c:pt>
                <c:pt idx="10">
                  <c:v>105</c:v>
                </c:pt>
                <c:pt idx="11">
                  <c:v>110</c:v>
                </c:pt>
                <c:pt idx="12">
                  <c:v>115</c:v>
                </c:pt>
              </c:numCache>
            </c:numRef>
          </c:xVal>
          <c:yVal>
            <c:numRef>
              <c:f>Calculations!$C$6:$C$18</c:f>
              <c:numCache>
                <c:formatCode>General</c:formatCode>
                <c:ptCount val="13"/>
                <c:pt idx="0">
                  <c:v>358.81091182752527</c:v>
                </c:pt>
                <c:pt idx="1">
                  <c:v>409.36174273986694</c:v>
                </c:pt>
                <c:pt idx="2">
                  <c:v>461.6928122836016</c:v>
                </c:pt>
                <c:pt idx="3">
                  <c:v>515.80307897000262</c:v>
                </c:pt>
                <c:pt idx="4">
                  <c:v>534.27295652465637</c:v>
                </c:pt>
                <c:pt idx="5">
                  <c:v>571.69730629436253</c:v>
                </c:pt>
                <c:pt idx="6">
                  <c:v>629.38489715954302</c:v>
                </c:pt>
                <c:pt idx="7">
                  <c:v>688.87904973085006</c:v>
                </c:pt>
                <c:pt idx="8">
                  <c:v>750.1961300429989</c:v>
                </c:pt>
                <c:pt idx="9">
                  <c:v>813.35519532909211</c:v>
                </c:pt>
                <c:pt idx="10">
                  <c:v>878.37762493929245</c:v>
                </c:pt>
                <c:pt idx="11">
                  <c:v>945.28682981810391</c:v>
                </c:pt>
                <c:pt idx="12">
                  <c:v>1014.1080204869648</c:v>
                </c:pt>
              </c:numCache>
            </c:numRef>
          </c:yVal>
          <c:smooth val="0"/>
          <c:extLst>
            <c:ext xmlns:c16="http://schemas.microsoft.com/office/drawing/2014/chart" uri="{C3380CC4-5D6E-409C-BE32-E72D297353CC}">
              <c16:uniqueId val="{00000000-09E6-4A3A-B1FF-81D639D14E11}"/>
            </c:ext>
          </c:extLst>
        </c:ser>
        <c:ser>
          <c:idx val="1"/>
          <c:order val="1"/>
          <c:tx>
            <c:strRef>
              <c:f>Calculations!$D$5</c:f>
              <c:strCache>
                <c:ptCount val="1"/>
                <c:pt idx="0">
                  <c:v>17</c:v>
                </c:pt>
              </c:strCache>
            </c:strRef>
          </c:tx>
          <c:spPr>
            <a:ln w="12700">
              <a:solidFill>
                <a:srgbClr val="FF0000"/>
              </a:solidFill>
              <a:prstDash val="solid"/>
            </a:ln>
          </c:spPr>
          <c:marker>
            <c:symbol val="none"/>
          </c:marker>
          <c:xVal>
            <c:numRef>
              <c:f>Calculations!$B$6:$B$18</c:f>
              <c:numCache>
                <c:formatCode>#,##0</c:formatCode>
                <c:ptCount val="13"/>
                <c:pt idx="0">
                  <c:v>60</c:v>
                </c:pt>
                <c:pt idx="1">
                  <c:v>65</c:v>
                </c:pt>
                <c:pt idx="2">
                  <c:v>70</c:v>
                </c:pt>
                <c:pt idx="3">
                  <c:v>75</c:v>
                </c:pt>
                <c:pt idx="4">
                  <c:v>76.67</c:v>
                </c:pt>
                <c:pt idx="5">
                  <c:v>80</c:v>
                </c:pt>
                <c:pt idx="6">
                  <c:v>85</c:v>
                </c:pt>
                <c:pt idx="7">
                  <c:v>90</c:v>
                </c:pt>
                <c:pt idx="8">
                  <c:v>95</c:v>
                </c:pt>
                <c:pt idx="9">
                  <c:v>100</c:v>
                </c:pt>
                <c:pt idx="10">
                  <c:v>105</c:v>
                </c:pt>
                <c:pt idx="11">
                  <c:v>110</c:v>
                </c:pt>
                <c:pt idx="12">
                  <c:v>115</c:v>
                </c:pt>
              </c:numCache>
            </c:numRef>
          </c:xVal>
          <c:yVal>
            <c:numRef>
              <c:f>Calculations!$D$6:$D$18</c:f>
              <c:numCache>
                <c:formatCode>General</c:formatCode>
                <c:ptCount val="13"/>
                <c:pt idx="0">
                  <c:v>351.03360509509855</c:v>
                </c:pt>
                <c:pt idx="1">
                  <c:v>401.50902689369644</c:v>
                </c:pt>
                <c:pt idx="2">
                  <c:v>453.77338847435408</c:v>
                </c:pt>
                <c:pt idx="3">
                  <c:v>507.82441107336507</c:v>
                </c:pt>
                <c:pt idx="4">
                  <c:v>526.27599239906488</c:v>
                </c:pt>
                <c:pt idx="5">
                  <c:v>563.66590610227865</c:v>
                </c:pt>
                <c:pt idx="6">
                  <c:v>621.30652748621605</c:v>
                </c:pt>
                <c:pt idx="7">
                  <c:v>680.75887324186419</c:v>
                </c:pt>
                <c:pt idx="8">
                  <c:v>742.03882096601728</c:v>
                </c:pt>
                <c:pt idx="9">
                  <c:v>805.16502504556934</c:v>
                </c:pt>
                <c:pt idx="10">
                  <c:v>870.158528741238</c:v>
                </c:pt>
                <c:pt idx="11">
                  <c:v>937.04245979053985</c:v>
                </c:pt>
                <c:pt idx="12">
                  <c:v>1005.8417879777846</c:v>
                </c:pt>
              </c:numCache>
            </c:numRef>
          </c:yVal>
          <c:smooth val="0"/>
          <c:extLst>
            <c:ext xmlns:c16="http://schemas.microsoft.com/office/drawing/2014/chart" uri="{C3380CC4-5D6E-409C-BE32-E72D297353CC}">
              <c16:uniqueId val="{00000001-09E6-4A3A-B1FF-81D639D14E11}"/>
            </c:ext>
          </c:extLst>
        </c:ser>
        <c:ser>
          <c:idx val="2"/>
          <c:order val="2"/>
          <c:tx>
            <c:strRef>
              <c:f>Calculations!$E$5</c:f>
              <c:strCache>
                <c:ptCount val="1"/>
                <c:pt idx="0">
                  <c:v>18</c:v>
                </c:pt>
              </c:strCache>
            </c:strRef>
          </c:tx>
          <c:spPr>
            <a:ln w="12700">
              <a:solidFill>
                <a:srgbClr val="00FF00"/>
              </a:solidFill>
              <a:prstDash val="solid"/>
            </a:ln>
          </c:spPr>
          <c:marker>
            <c:symbol val="none"/>
          </c:marker>
          <c:xVal>
            <c:numRef>
              <c:f>Calculations!$B$6:$B$18</c:f>
              <c:numCache>
                <c:formatCode>#,##0</c:formatCode>
                <c:ptCount val="13"/>
                <c:pt idx="0">
                  <c:v>60</c:v>
                </c:pt>
                <c:pt idx="1">
                  <c:v>65</c:v>
                </c:pt>
                <c:pt idx="2">
                  <c:v>70</c:v>
                </c:pt>
                <c:pt idx="3">
                  <c:v>75</c:v>
                </c:pt>
                <c:pt idx="4">
                  <c:v>76.67</c:v>
                </c:pt>
                <c:pt idx="5">
                  <c:v>80</c:v>
                </c:pt>
                <c:pt idx="6">
                  <c:v>85</c:v>
                </c:pt>
                <c:pt idx="7">
                  <c:v>90</c:v>
                </c:pt>
                <c:pt idx="8">
                  <c:v>95</c:v>
                </c:pt>
                <c:pt idx="9">
                  <c:v>100</c:v>
                </c:pt>
                <c:pt idx="10">
                  <c:v>105</c:v>
                </c:pt>
                <c:pt idx="11">
                  <c:v>110</c:v>
                </c:pt>
                <c:pt idx="12">
                  <c:v>115</c:v>
                </c:pt>
              </c:numCache>
            </c:numRef>
          </c:xVal>
          <c:yVal>
            <c:numRef>
              <c:f>Calculations!$E$6:$E$18</c:f>
              <c:numCache>
                <c:formatCode>General</c:formatCode>
                <c:ptCount val="13"/>
                <c:pt idx="0">
                  <c:v>343.23058615211113</c:v>
                </c:pt>
                <c:pt idx="1">
                  <c:v>393.6288593807576</c:v>
                </c:pt>
                <c:pt idx="2">
                  <c:v>445.82506790447883</c:v>
                </c:pt>
                <c:pt idx="3">
                  <c:v>499.81562514034147</c:v>
                </c:pt>
                <c:pt idx="4">
                  <c:v>518.24854319591748</c:v>
                </c:pt>
                <c:pt idx="5">
                  <c:v>555.60334109883775</c:v>
                </c:pt>
                <c:pt idx="6">
                  <c:v>613.19608514630966</c:v>
                </c:pt>
                <c:pt idx="7">
                  <c:v>672.60582879433991</c:v>
                </c:pt>
                <c:pt idx="8">
                  <c:v>733.84794123618781</c:v>
                </c:pt>
                <c:pt idx="9">
                  <c:v>796.94065859393163</c:v>
                </c:pt>
                <c:pt idx="10">
                  <c:v>861.90467593055223</c:v>
                </c:pt>
                <c:pt idx="11">
                  <c:v>928.76282812704062</c:v>
                </c:pt>
                <c:pt idx="12">
                  <c:v>997.5398364398161</c:v>
                </c:pt>
              </c:numCache>
            </c:numRef>
          </c:yVal>
          <c:smooth val="0"/>
          <c:extLst>
            <c:ext xmlns:c16="http://schemas.microsoft.com/office/drawing/2014/chart" uri="{C3380CC4-5D6E-409C-BE32-E72D297353CC}">
              <c16:uniqueId val="{00000002-09E6-4A3A-B1FF-81D639D14E11}"/>
            </c:ext>
          </c:extLst>
        </c:ser>
        <c:ser>
          <c:idx val="3"/>
          <c:order val="3"/>
          <c:tx>
            <c:strRef>
              <c:f>Calculations!$F$5</c:f>
              <c:strCache>
                <c:ptCount val="1"/>
                <c:pt idx="0">
                  <c:v>19</c:v>
                </c:pt>
              </c:strCache>
            </c:strRef>
          </c:tx>
          <c:spPr>
            <a:ln w="12700">
              <a:solidFill>
                <a:srgbClr val="00FFFF"/>
              </a:solidFill>
              <a:prstDash val="solid"/>
            </a:ln>
          </c:spPr>
          <c:marker>
            <c:symbol val="none"/>
          </c:marker>
          <c:xVal>
            <c:numRef>
              <c:f>Calculations!$B$6:$B$18</c:f>
              <c:numCache>
                <c:formatCode>#,##0</c:formatCode>
                <c:ptCount val="13"/>
                <c:pt idx="0">
                  <c:v>60</c:v>
                </c:pt>
                <c:pt idx="1">
                  <c:v>65</c:v>
                </c:pt>
                <c:pt idx="2">
                  <c:v>70</c:v>
                </c:pt>
                <c:pt idx="3">
                  <c:v>75</c:v>
                </c:pt>
                <c:pt idx="4">
                  <c:v>76.67</c:v>
                </c:pt>
                <c:pt idx="5">
                  <c:v>80</c:v>
                </c:pt>
                <c:pt idx="6">
                  <c:v>85</c:v>
                </c:pt>
                <c:pt idx="7">
                  <c:v>90</c:v>
                </c:pt>
                <c:pt idx="8">
                  <c:v>95</c:v>
                </c:pt>
                <c:pt idx="9">
                  <c:v>100</c:v>
                </c:pt>
                <c:pt idx="10">
                  <c:v>105</c:v>
                </c:pt>
                <c:pt idx="11">
                  <c:v>110</c:v>
                </c:pt>
                <c:pt idx="12">
                  <c:v>115</c:v>
                </c:pt>
              </c:numCache>
            </c:numRef>
          </c:xVal>
          <c:yVal>
            <c:numRef>
              <c:f>Calculations!$F$6:$F$18</c:f>
              <c:numCache>
                <c:formatCode>General</c:formatCode>
                <c:ptCount val="13"/>
                <c:pt idx="0">
                  <c:v>335.40191495851826</c:v>
                </c:pt>
                <c:pt idx="1">
                  <c:v>385.72123019096296</c:v>
                </c:pt>
                <c:pt idx="2">
                  <c:v>437.84778825525882</c:v>
                </c:pt>
                <c:pt idx="3">
                  <c:v>491.7766186394839</c:v>
                </c:pt>
                <c:pt idx="4">
                  <c:v>510.19049499760433</c:v>
                </c:pt>
                <c:pt idx="5">
                  <c:v>547.50947711890899</c:v>
                </c:pt>
                <c:pt idx="6">
                  <c:v>605.0534106048857</c:v>
                </c:pt>
                <c:pt idx="7">
                  <c:v>664.41973617031817</c:v>
                </c:pt>
                <c:pt idx="8">
                  <c:v>725.62329353344853</c:v>
                </c:pt>
                <c:pt idx="9">
                  <c:v>788.6818843379607</c:v>
                </c:pt>
                <c:pt idx="10">
                  <c:v>853.61584275685186</c:v>
                </c:pt>
                <c:pt idx="11">
                  <c:v>920.44770072790766</c:v>
                </c:pt>
                <c:pt idx="12">
                  <c:v>989.20192285613643</c:v>
                </c:pt>
              </c:numCache>
            </c:numRef>
          </c:yVal>
          <c:smooth val="0"/>
          <c:extLst>
            <c:ext xmlns:c16="http://schemas.microsoft.com/office/drawing/2014/chart" uri="{C3380CC4-5D6E-409C-BE32-E72D297353CC}">
              <c16:uniqueId val="{00000003-09E6-4A3A-B1FF-81D639D14E11}"/>
            </c:ext>
          </c:extLst>
        </c:ser>
        <c:ser>
          <c:idx val="4"/>
          <c:order val="4"/>
          <c:tx>
            <c:strRef>
              <c:f>Calculations!$G$5</c:f>
              <c:strCache>
                <c:ptCount val="1"/>
                <c:pt idx="0">
                  <c:v>20</c:v>
                </c:pt>
              </c:strCache>
            </c:strRef>
          </c:tx>
          <c:spPr>
            <a:ln w="12700">
              <a:solidFill>
                <a:srgbClr val="FF00FF"/>
              </a:solidFill>
              <a:prstDash val="solid"/>
            </a:ln>
          </c:spPr>
          <c:marker>
            <c:symbol val="none"/>
          </c:marker>
          <c:xVal>
            <c:numRef>
              <c:f>Calculations!$B$6:$B$18</c:f>
              <c:numCache>
                <c:formatCode>#,##0</c:formatCode>
                <c:ptCount val="13"/>
                <c:pt idx="0">
                  <c:v>60</c:v>
                </c:pt>
                <c:pt idx="1">
                  <c:v>65</c:v>
                </c:pt>
                <c:pt idx="2">
                  <c:v>70</c:v>
                </c:pt>
                <c:pt idx="3">
                  <c:v>75</c:v>
                </c:pt>
                <c:pt idx="4">
                  <c:v>76.67</c:v>
                </c:pt>
                <c:pt idx="5">
                  <c:v>80</c:v>
                </c:pt>
                <c:pt idx="6">
                  <c:v>85</c:v>
                </c:pt>
                <c:pt idx="7">
                  <c:v>90</c:v>
                </c:pt>
                <c:pt idx="8">
                  <c:v>95</c:v>
                </c:pt>
                <c:pt idx="9">
                  <c:v>100</c:v>
                </c:pt>
                <c:pt idx="10">
                  <c:v>105</c:v>
                </c:pt>
                <c:pt idx="11">
                  <c:v>110</c:v>
                </c:pt>
                <c:pt idx="12">
                  <c:v>115</c:v>
                </c:pt>
              </c:numCache>
            </c:numRef>
          </c:xVal>
          <c:yVal>
            <c:numRef>
              <c:f>Calculations!$G$6:$G$18</c:f>
              <c:numCache>
                <c:formatCode>General</c:formatCode>
                <c:ptCount val="13"/>
                <c:pt idx="0">
                  <c:v>327.54766715291339</c:v>
                </c:pt>
                <c:pt idx="1">
                  <c:v>377.78614051144064</c:v>
                </c:pt>
                <c:pt idx="2">
                  <c:v>429.84149540543194</c:v>
                </c:pt>
                <c:pt idx="3">
                  <c:v>483.70729514895095</c:v>
                </c:pt>
                <c:pt idx="4">
                  <c:v>502.10173944121664</c:v>
                </c:pt>
                <c:pt idx="5">
                  <c:v>539.3841846064621</c:v>
                </c:pt>
                <c:pt idx="6">
                  <c:v>596.8783478283749</c:v>
                </c:pt>
                <c:pt idx="7">
                  <c:v>656.20041781659529</c:v>
                </c:pt>
                <c:pt idx="8">
                  <c:v>717.36468255812804</c:v>
                </c:pt>
                <c:pt idx="9">
                  <c:v>780.38849215701032</c:v>
                </c:pt>
                <c:pt idx="10">
                  <c:v>845.29180658387372</c:v>
                </c:pt>
                <c:pt idx="11">
                  <c:v>912.09684428407104</c:v>
                </c:pt>
                <c:pt idx="12">
                  <c:v>980.82780473669163</c:v>
                </c:pt>
              </c:numCache>
            </c:numRef>
          </c:yVal>
          <c:smooth val="0"/>
          <c:extLst>
            <c:ext xmlns:c16="http://schemas.microsoft.com/office/drawing/2014/chart" uri="{C3380CC4-5D6E-409C-BE32-E72D297353CC}">
              <c16:uniqueId val="{00000004-09E6-4A3A-B1FF-81D639D14E11}"/>
            </c:ext>
          </c:extLst>
        </c:ser>
        <c:ser>
          <c:idx val="5"/>
          <c:order val="5"/>
          <c:tx>
            <c:strRef>
              <c:f>Calculations!$H$5</c:f>
              <c:strCache>
                <c:ptCount val="1"/>
                <c:pt idx="0">
                  <c:v>21</c:v>
                </c:pt>
              </c:strCache>
            </c:strRef>
          </c:tx>
          <c:spPr>
            <a:ln w="12700">
              <a:solidFill>
                <a:srgbClr val="800000"/>
              </a:solidFill>
              <a:prstDash val="solid"/>
            </a:ln>
          </c:spPr>
          <c:marker>
            <c:symbol val="none"/>
          </c:marker>
          <c:xVal>
            <c:numRef>
              <c:f>Calculations!$B$6:$B$18</c:f>
              <c:numCache>
                <c:formatCode>#,##0</c:formatCode>
                <c:ptCount val="13"/>
                <c:pt idx="0">
                  <c:v>60</c:v>
                </c:pt>
                <c:pt idx="1">
                  <c:v>65</c:v>
                </c:pt>
                <c:pt idx="2">
                  <c:v>70</c:v>
                </c:pt>
                <c:pt idx="3">
                  <c:v>75</c:v>
                </c:pt>
                <c:pt idx="4">
                  <c:v>76.67</c:v>
                </c:pt>
                <c:pt idx="5">
                  <c:v>80</c:v>
                </c:pt>
                <c:pt idx="6">
                  <c:v>85</c:v>
                </c:pt>
                <c:pt idx="7">
                  <c:v>90</c:v>
                </c:pt>
                <c:pt idx="8">
                  <c:v>95</c:v>
                </c:pt>
                <c:pt idx="9">
                  <c:v>100</c:v>
                </c:pt>
                <c:pt idx="10">
                  <c:v>105</c:v>
                </c:pt>
                <c:pt idx="11">
                  <c:v>110</c:v>
                </c:pt>
                <c:pt idx="12">
                  <c:v>115</c:v>
                </c:pt>
              </c:numCache>
            </c:numRef>
          </c:xVal>
          <c:yVal>
            <c:numRef>
              <c:f>Calculations!$H$6:$H$18</c:f>
              <c:numCache>
                <c:formatCode>General</c:formatCode>
                <c:ptCount val="13"/>
                <c:pt idx="0">
                  <c:v>319.66793520682711</c:v>
                </c:pt>
                <c:pt idx="1">
                  <c:v>369.82360347964254</c:v>
                </c:pt>
                <c:pt idx="2">
                  <c:v>421.80614394451538</c:v>
                </c:pt>
                <c:pt idx="3">
                  <c:v>475.60756471907365</c:v>
                </c:pt>
                <c:pt idx="4">
                  <c:v>493.98217404357592</c:v>
                </c:pt>
                <c:pt idx="5">
                  <c:v>531.22733887832612</c:v>
                </c:pt>
                <c:pt idx="6">
                  <c:v>588.6707444813012</c:v>
                </c:pt>
                <c:pt idx="7">
                  <c:v>647.94769899459641</c:v>
                </c:pt>
                <c:pt idx="8">
                  <c:v>709.07191514725309</c:v>
                </c:pt>
                <c:pt idx="9">
                  <c:v>772.0602735377222</c:v>
                </c:pt>
                <c:pt idx="10">
                  <c:v>836.93234596284208</c:v>
                </c:pt>
                <c:pt idx="11">
                  <c:v>903.71002633651085</c:v>
                </c:pt>
                <c:pt idx="12">
                  <c:v>972.41724016696867</c:v>
                </c:pt>
              </c:numCache>
            </c:numRef>
          </c:yVal>
          <c:smooth val="0"/>
          <c:extLst>
            <c:ext xmlns:c16="http://schemas.microsoft.com/office/drawing/2014/chart" uri="{C3380CC4-5D6E-409C-BE32-E72D297353CC}">
              <c16:uniqueId val="{00000005-09E6-4A3A-B1FF-81D639D14E11}"/>
            </c:ext>
          </c:extLst>
        </c:ser>
        <c:ser>
          <c:idx val="6"/>
          <c:order val="6"/>
          <c:tx>
            <c:strRef>
              <c:f>Calculations!$I$5</c:f>
              <c:strCache>
                <c:ptCount val="1"/>
                <c:pt idx="0">
                  <c:v>25</c:v>
                </c:pt>
              </c:strCache>
            </c:strRef>
          </c:tx>
          <c:spPr>
            <a:ln>
              <a:solidFill>
                <a:srgbClr val="002060"/>
              </a:solidFill>
            </a:ln>
          </c:spPr>
          <c:marker>
            <c:symbol val="none"/>
          </c:marker>
          <c:xVal>
            <c:numRef>
              <c:f>Calculations!$B$6:$B$18</c:f>
              <c:numCache>
                <c:formatCode>#,##0</c:formatCode>
                <c:ptCount val="13"/>
                <c:pt idx="0">
                  <c:v>60</c:v>
                </c:pt>
                <c:pt idx="1">
                  <c:v>65</c:v>
                </c:pt>
                <c:pt idx="2">
                  <c:v>70</c:v>
                </c:pt>
                <c:pt idx="3">
                  <c:v>75</c:v>
                </c:pt>
                <c:pt idx="4">
                  <c:v>76.67</c:v>
                </c:pt>
                <c:pt idx="5">
                  <c:v>80</c:v>
                </c:pt>
                <c:pt idx="6">
                  <c:v>85</c:v>
                </c:pt>
                <c:pt idx="7">
                  <c:v>90</c:v>
                </c:pt>
                <c:pt idx="8">
                  <c:v>95</c:v>
                </c:pt>
                <c:pt idx="9">
                  <c:v>100</c:v>
                </c:pt>
                <c:pt idx="10">
                  <c:v>105</c:v>
                </c:pt>
                <c:pt idx="11">
                  <c:v>110</c:v>
                </c:pt>
                <c:pt idx="12">
                  <c:v>115</c:v>
                </c:pt>
              </c:numCache>
            </c:numRef>
          </c:xVal>
          <c:yVal>
            <c:numRef>
              <c:f>Calculations!$I$6:$I$18</c:f>
              <c:numCache>
                <c:formatCode>General</c:formatCode>
                <c:ptCount val="13"/>
                <c:pt idx="0">
                  <c:v>287.89667905698911</c:v>
                </c:pt>
                <c:pt idx="1">
                  <c:v>337.69971065597463</c:v>
                </c:pt>
                <c:pt idx="2">
                  <c:v>389.37358084019939</c:v>
                </c:pt>
                <c:pt idx="3">
                  <c:v>442.90302363629928</c:v>
                </c:pt>
                <c:pt idx="4">
                  <c:v>461.19399027440261</c:v>
                </c:pt>
                <c:pt idx="5">
                  <c:v>498.28211692207367</c:v>
                </c:pt>
                <c:pt idx="6">
                  <c:v>555.51202012572242</c:v>
                </c:pt>
                <c:pt idx="7">
                  <c:v>614.59943186139071</c:v>
                </c:pt>
                <c:pt idx="8">
                  <c:v>675.55549969472031</c:v>
                </c:pt>
                <c:pt idx="9">
                  <c:v>738.39502617645167</c:v>
                </c:pt>
                <c:pt idx="10">
                  <c:v>803.1358759743573</c:v>
                </c:pt>
                <c:pt idx="11">
                  <c:v>869.79852362280485</c:v>
                </c:pt>
                <c:pt idx="12">
                  <c:v>938.40570213088245</c:v>
                </c:pt>
              </c:numCache>
            </c:numRef>
          </c:yVal>
          <c:smooth val="0"/>
          <c:extLst>
            <c:ext xmlns:c16="http://schemas.microsoft.com/office/drawing/2014/chart" uri="{C3380CC4-5D6E-409C-BE32-E72D297353CC}">
              <c16:uniqueId val="{00000006-09E6-4A3A-B1FF-81D639D14E11}"/>
            </c:ext>
          </c:extLst>
        </c:ser>
        <c:dLbls>
          <c:showLegendKey val="0"/>
          <c:showVal val="0"/>
          <c:showCatName val="0"/>
          <c:showSerName val="0"/>
          <c:showPercent val="0"/>
          <c:showBubbleSize val="0"/>
        </c:dLbls>
        <c:axId val="97779072"/>
        <c:axId val="98125696"/>
      </c:scatterChart>
      <c:valAx>
        <c:axId val="97779072"/>
        <c:scaling>
          <c:orientation val="minMax"/>
          <c:min val="60"/>
        </c:scaling>
        <c:delete val="0"/>
        <c:axPos val="b"/>
        <c:title>
          <c:tx>
            <c:strRef>
              <c:f>Calculations!$D$31</c:f>
              <c:strCache>
                <c:ptCount val="1"/>
                <c:pt idx="0">
                  <c:v>Mean Water Temperature /°C</c:v>
                </c:pt>
              </c:strCache>
            </c:strRef>
          </c:tx>
          <c:layout>
            <c:manualLayout>
              <c:xMode val="edge"/>
              <c:yMode val="edge"/>
              <c:x val="0.33890185413570417"/>
              <c:y val="0.94953441630606983"/>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8125696"/>
        <c:crosses val="autoZero"/>
        <c:crossBetween val="midCat"/>
      </c:valAx>
      <c:valAx>
        <c:axId val="98125696"/>
        <c:scaling>
          <c:orientation val="minMax"/>
          <c:min val="300"/>
        </c:scaling>
        <c:delete val="0"/>
        <c:axPos val="l"/>
        <c:title>
          <c:tx>
            <c:strRef>
              <c:f>Calculations!$D$30</c:f>
              <c:strCache>
                <c:ptCount val="1"/>
                <c:pt idx="0">
                  <c:v>Emissions per area (W/m²)</c:v>
                </c:pt>
              </c:strCache>
            </c:strRef>
          </c:tx>
          <c:layout>
            <c:manualLayout>
              <c:xMode val="edge"/>
              <c:yMode val="edge"/>
              <c:x val="1.3109024022599584E-2"/>
              <c:y val="0.32942966588636141"/>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7779072"/>
        <c:crosses val="autoZero"/>
        <c:crossBetween val="midCat"/>
      </c:valAx>
      <c:spPr>
        <a:noFill/>
        <a:ln w="25400">
          <a:noFill/>
        </a:ln>
      </c:spPr>
    </c:plotArea>
    <c:legend>
      <c:legendPos val="r"/>
      <c:layout>
        <c:manualLayout>
          <c:xMode val="edge"/>
          <c:yMode val="edge"/>
          <c:x val="0.83029105110748358"/>
          <c:y val="0.57853965402342955"/>
          <c:w val="0.11259343586067806"/>
          <c:h val="0.2632170018776923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244" r="0.75000000000000244" t="1" header="0.5" footer="0.5"/>
    <c:pageSetup paperSize="9" orientation="landscape" horizontalDpi="300"/>
  </c:printSettings>
</c:chartSpace>
</file>

<file path=xl/ctrlProps/ctrlProp1.xml><?xml version="1.0" encoding="utf-8"?>
<formControlPr xmlns="http://schemas.microsoft.com/office/spreadsheetml/2009/9/main" objectType="Drop" dropStyle="combo" dx="16" fmlaLink="MatIndex" fmlaRange="MatList" noThreeD="1" sel="2" val="0"/>
</file>

<file path=xl/ctrlProps/ctrlProp2.xml><?xml version="1.0" encoding="utf-8"?>
<formControlPr xmlns="http://schemas.microsoft.com/office/spreadsheetml/2009/9/main" objectType="Drop" dropStyle="combo" dx="16" fmlaLink="MediumIndex" fmlaRange="MediumList" noThreeD="1" sel="1" val="0"/>
</file>

<file path=xl/ctrlProps/ctrlProp3.xml><?xml version="1.0" encoding="utf-8"?>
<formControlPr xmlns="http://schemas.microsoft.com/office/spreadsheetml/2009/9/main" objectType="List" dx="16" fmlaLink="EmissionsBasis" fmlaRange="EmissionsList"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438150</xdr:colOff>
      <xdr:row>2</xdr:row>
      <xdr:rowOff>9525</xdr:rowOff>
    </xdr:to>
    <xdr:pic>
      <xdr:nvPicPr>
        <xdr:cNvPr id="167977" name="Picture 3" descr="C:\Users\tony\Desktop\Logo\Solray-Logo Final.jpg">
          <a:extLst>
            <a:ext uri="{FF2B5EF4-FFF2-40B4-BE49-F238E27FC236}">
              <a16:creationId xmlns:a16="http://schemas.microsoft.com/office/drawing/2014/main" id="{00000000-0008-0000-0000-0000299002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657350" cy="4000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190500</xdr:colOff>
      <xdr:row>11</xdr:row>
      <xdr:rowOff>0</xdr:rowOff>
    </xdr:from>
    <xdr:to>
      <xdr:col>16</xdr:col>
      <xdr:colOff>685800</xdr:colOff>
      <xdr:row>38</xdr:row>
      <xdr:rowOff>0</xdr:rowOff>
    </xdr:to>
    <xdr:graphicFrame macro="">
      <xdr:nvGraphicFramePr>
        <xdr:cNvPr id="10023" name="Chart 4">
          <a:extLst>
            <a:ext uri="{FF2B5EF4-FFF2-40B4-BE49-F238E27FC236}">
              <a16:creationId xmlns:a16="http://schemas.microsoft.com/office/drawing/2014/main" id="{00000000-0008-0000-0100-0000272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84665</xdr:colOff>
      <xdr:row>21</xdr:row>
      <xdr:rowOff>11378</xdr:rowOff>
    </xdr:from>
    <xdr:to>
      <xdr:col>16</xdr:col>
      <xdr:colOff>356126</xdr:colOff>
      <xdr:row>25</xdr:row>
      <xdr:rowOff>63500</xdr:rowOff>
    </xdr:to>
    <xdr:sp macro="" textlink="#REF!">
      <xdr:nvSpPr>
        <xdr:cNvPr id="9221" name="Text Box 5">
          <a:extLst>
            <a:ext uri="{FF2B5EF4-FFF2-40B4-BE49-F238E27FC236}">
              <a16:creationId xmlns:a16="http://schemas.microsoft.com/office/drawing/2014/main" id="{00000000-0008-0000-0100-000005240000}"/>
            </a:ext>
          </a:extLst>
        </xdr:cNvPr>
        <xdr:cNvSpPr txBox="1">
          <a:spLocks noChangeArrowheads="1"/>
        </xdr:cNvSpPr>
      </xdr:nvSpPr>
      <xdr:spPr bwMode="auto">
        <a:xfrm>
          <a:off x="10752665" y="3323961"/>
          <a:ext cx="1012294" cy="697706"/>
        </a:xfrm>
        <a:prstGeom prst="rect">
          <a:avLst/>
        </a:prstGeom>
        <a:solidFill>
          <a:srgbClr val="FFFFFF"/>
        </a:solidFill>
        <a:ln w="3175">
          <a:noFill/>
          <a:miter lim="800000"/>
          <a:headEnd/>
          <a:tailEnd/>
        </a:ln>
      </xdr:spPr>
      <xdr:txBody>
        <a:bodyPr vertOverflow="clip" wrap="square" lIns="36576" tIns="27432" rIns="0" bIns="0" anchor="t" upright="1"/>
        <a:lstStyle/>
        <a:p>
          <a:pPr algn="ctr" rtl="0">
            <a:defRPr sz="1000"/>
          </a:pPr>
          <a:fld id="{37AF25BD-C2D3-46B1-8E29-F34D6E144349}" type="TxLink">
            <a:rPr lang="en-US" sz="1200" b="1" i="0" u="none" strike="noStrike" baseline="0">
              <a:solidFill>
                <a:srgbClr val="000000"/>
              </a:solidFill>
              <a:latin typeface="Arial"/>
              <a:cs typeface="Arial"/>
            </a:rPr>
            <a:pPr algn="ctr" rtl="0">
              <a:defRPr sz="1000"/>
            </a:pPr>
            <a:t>Ambient Temperature  /°C</a:t>
          </a:fld>
          <a:endParaRPr lang="en-GB" sz="1200" b="1" i="0" u="none" strike="noStrike" baseline="0">
            <a:solidFill>
              <a:srgbClr val="000000"/>
            </a:solidFill>
            <a:latin typeface="Arial"/>
            <a:cs typeface="Arial"/>
          </a:endParaRPr>
        </a:p>
      </xdr:txBody>
    </xdr:sp>
    <xdr:clientData/>
  </xdr:twoCellAnchor>
  <xdr:twoCellAnchor editAs="oneCell">
    <xdr:from>
      <xdr:col>0</xdr:col>
      <xdr:colOff>9525</xdr:colOff>
      <xdr:row>0</xdr:row>
      <xdr:rowOff>9525</xdr:rowOff>
    </xdr:from>
    <xdr:to>
      <xdr:col>2</xdr:col>
      <xdr:colOff>438150</xdr:colOff>
      <xdr:row>2</xdr:row>
      <xdr:rowOff>9525</xdr:rowOff>
    </xdr:to>
    <xdr:pic>
      <xdr:nvPicPr>
        <xdr:cNvPr id="10025" name="Picture 3" descr="C:\Users\tony\Desktop\Logo\Solray-Logo Final.jpg">
          <a:extLst>
            <a:ext uri="{FF2B5EF4-FFF2-40B4-BE49-F238E27FC236}">
              <a16:creationId xmlns:a16="http://schemas.microsoft.com/office/drawing/2014/main" id="{00000000-0008-0000-0100-00002927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25" y="9525"/>
          <a:ext cx="1638300" cy="40957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4</xdr:col>
          <xdr:colOff>9525</xdr:colOff>
          <xdr:row>11</xdr:row>
          <xdr:rowOff>0</xdr:rowOff>
        </xdr:from>
        <xdr:to>
          <xdr:col>7</xdr:col>
          <xdr:colOff>457200</xdr:colOff>
          <xdr:row>12</xdr:row>
          <xdr:rowOff>0</xdr:rowOff>
        </xdr:to>
        <xdr:sp macro="" textlink="">
          <xdr:nvSpPr>
            <xdr:cNvPr id="9218" name="Drop Down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xdr:row>
          <xdr:rowOff>0</xdr:rowOff>
        </xdr:from>
        <xdr:to>
          <xdr:col>7</xdr:col>
          <xdr:colOff>457200</xdr:colOff>
          <xdr:row>13</xdr:row>
          <xdr:rowOff>0</xdr:rowOff>
        </xdr:to>
        <xdr:sp macro="" textlink="">
          <xdr:nvSpPr>
            <xdr:cNvPr id="9307" name="Drop Down 91" hidden="1">
              <a:extLst>
                <a:ext uri="{63B3BB69-23CF-44E3-9099-C40C66FF867C}">
                  <a14:compatExt spid="_x0000_s9307"/>
                </a:ext>
                <a:ext uri="{FF2B5EF4-FFF2-40B4-BE49-F238E27FC236}">
                  <a16:creationId xmlns:a16="http://schemas.microsoft.com/office/drawing/2014/main" id="{00000000-0008-0000-0100-00005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152400</xdr:rowOff>
        </xdr:from>
        <xdr:to>
          <xdr:col>8</xdr:col>
          <xdr:colOff>561975</xdr:colOff>
          <xdr:row>21</xdr:row>
          <xdr:rowOff>114300</xdr:rowOff>
        </xdr:to>
        <xdr:sp macro="" textlink="">
          <xdr:nvSpPr>
            <xdr:cNvPr id="10026" name="List Box 810" hidden="1">
              <a:extLst>
                <a:ext uri="{63B3BB69-23CF-44E3-9099-C40C66FF867C}">
                  <a14:compatExt spid="_x0000_s10026"/>
                </a:ext>
                <a:ext uri="{FF2B5EF4-FFF2-40B4-BE49-F238E27FC236}">
                  <a16:creationId xmlns:a16="http://schemas.microsoft.com/office/drawing/2014/main" id="{00000000-0008-0000-0100-00002A27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21167</xdr:colOff>
      <xdr:row>0</xdr:row>
      <xdr:rowOff>0</xdr:rowOff>
    </xdr:from>
    <xdr:to>
      <xdr:col>3</xdr:col>
      <xdr:colOff>762530</xdr:colOff>
      <xdr:row>0</xdr:row>
      <xdr:rowOff>404283</xdr:rowOff>
    </xdr:to>
    <xdr:pic>
      <xdr:nvPicPr>
        <xdr:cNvPr id="45205" name="Picture 3" descr="C:\Users\tony\Desktop\Logo\Solray-Logo Final.jpg">
          <a:extLst>
            <a:ext uri="{FF2B5EF4-FFF2-40B4-BE49-F238E27FC236}">
              <a16:creationId xmlns:a16="http://schemas.microsoft.com/office/drawing/2014/main" id="{00000000-0008-0000-0200-000095B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167" y="0"/>
          <a:ext cx="1657351" cy="40428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ales@solray.co.uk?subject=Enquiry"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sales@solray.co.uk?subject=Enquiry"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sales@solray.co.uk?subject=Enqui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K20"/>
  <sheetViews>
    <sheetView tabSelected="1" workbookViewId="0">
      <pane ySplit="5" topLeftCell="A6" activePane="bottomLeft" state="frozen"/>
      <selection pane="bottomLeft" activeCell="C22" sqref="C22"/>
    </sheetView>
  </sheetViews>
  <sheetFormatPr defaultRowHeight="12.75" x14ac:dyDescent="0.2"/>
  <cols>
    <col min="1" max="16384" width="9.140625" style="4"/>
  </cols>
  <sheetData>
    <row r="1" spans="1:11" ht="18" customHeight="1" x14ac:dyDescent="0.2">
      <c r="D1" s="222" t="s">
        <v>53</v>
      </c>
      <c r="E1" s="222"/>
      <c r="F1" s="222"/>
      <c r="G1" s="222"/>
      <c r="H1" s="222"/>
      <c r="I1" s="222"/>
      <c r="J1" s="222"/>
      <c r="K1" s="222"/>
    </row>
    <row r="2" spans="1:11" ht="12.75" customHeight="1" x14ac:dyDescent="0.2">
      <c r="D2" s="222"/>
      <c r="E2" s="222"/>
      <c r="F2" s="222"/>
      <c r="G2" s="222"/>
      <c r="H2" s="222"/>
      <c r="I2" s="222"/>
      <c r="J2" s="222"/>
      <c r="K2" s="222"/>
    </row>
    <row r="3" spans="1:11" ht="4.5" customHeight="1" x14ac:dyDescent="0.2">
      <c r="A3" s="109"/>
      <c r="B3" s="110"/>
      <c r="C3" s="110"/>
      <c r="D3" s="110"/>
      <c r="E3" s="110"/>
      <c r="F3" s="110"/>
    </row>
    <row r="4" spans="1:11" ht="12.75" customHeight="1" x14ac:dyDescent="0.2">
      <c r="A4" s="223" t="s">
        <v>54</v>
      </c>
      <c r="B4" s="223"/>
      <c r="C4" s="223"/>
      <c r="D4" s="223"/>
      <c r="E4" s="223"/>
      <c r="F4" s="223"/>
      <c r="G4" s="223"/>
      <c r="H4" s="223"/>
      <c r="I4" s="223"/>
      <c r="J4" s="223"/>
      <c r="K4" s="223"/>
    </row>
    <row r="5" spans="1:11" x14ac:dyDescent="0.2">
      <c r="A5" s="223"/>
      <c r="B5" s="223"/>
      <c r="C5" s="223"/>
      <c r="D5" s="223"/>
      <c r="E5" s="223"/>
      <c r="F5" s="223"/>
      <c r="G5" s="223"/>
      <c r="H5" s="223"/>
      <c r="I5" s="223"/>
      <c r="J5" s="223"/>
      <c r="K5" s="223"/>
    </row>
    <row r="6" spans="1:11" ht="5.25" customHeight="1" x14ac:dyDescent="0.2"/>
    <row r="7" spans="1:11" ht="28.5" customHeight="1" x14ac:dyDescent="0.2">
      <c r="A7" s="224" t="s">
        <v>118</v>
      </c>
      <c r="B7" s="224"/>
      <c r="C7" s="224"/>
      <c r="D7" s="224"/>
      <c r="E7" s="224"/>
      <c r="F7" s="224"/>
      <c r="G7" s="224"/>
      <c r="H7" s="224"/>
      <c r="I7" s="224"/>
      <c r="J7" s="224"/>
      <c r="K7" s="224"/>
    </row>
    <row r="8" spans="1:11" ht="12" customHeight="1" x14ac:dyDescent="0.2">
      <c r="G8" s="201"/>
    </row>
    <row r="9" spans="1:11" x14ac:dyDescent="0.2">
      <c r="A9" s="4" t="s">
        <v>117</v>
      </c>
    </row>
    <row r="10" spans="1:11" ht="13.5" customHeight="1" x14ac:dyDescent="0.2"/>
    <row r="11" spans="1:11" x14ac:dyDescent="0.2">
      <c r="A11" s="202">
        <v>1</v>
      </c>
      <c r="B11" s="201" t="s">
        <v>112</v>
      </c>
    </row>
    <row r="12" spans="1:11" ht="3.75" customHeight="1" x14ac:dyDescent="0.2"/>
    <row r="13" spans="1:11" ht="65.25" customHeight="1" x14ac:dyDescent="0.2">
      <c r="B13" s="225" t="s">
        <v>122</v>
      </c>
      <c r="C13" s="225"/>
      <c r="D13" s="225"/>
      <c r="E13" s="225"/>
      <c r="F13" s="225"/>
      <c r="G13" s="225"/>
      <c r="H13" s="225"/>
      <c r="I13" s="225"/>
      <c r="J13" s="225"/>
      <c r="K13" s="225"/>
    </row>
    <row r="14" spans="1:11" ht="12.75" customHeight="1" x14ac:dyDescent="0.2"/>
    <row r="15" spans="1:11" x14ac:dyDescent="0.2">
      <c r="A15" s="202">
        <v>2</v>
      </c>
      <c r="B15" s="201" t="s">
        <v>55</v>
      </c>
    </row>
    <row r="16" spans="1:11" ht="5.25" customHeight="1" x14ac:dyDescent="0.2"/>
    <row r="17" spans="2:11" ht="27.75" customHeight="1" x14ac:dyDescent="0.2">
      <c r="B17" s="221" t="s">
        <v>123</v>
      </c>
      <c r="C17" s="221"/>
      <c r="D17" s="221"/>
      <c r="E17" s="221"/>
      <c r="F17" s="221"/>
      <c r="G17" s="221"/>
      <c r="H17" s="221"/>
      <c r="I17" s="221"/>
      <c r="J17" s="221"/>
      <c r="K17" s="221"/>
    </row>
    <row r="19" spans="2:11" x14ac:dyDescent="0.2">
      <c r="B19"/>
    </row>
    <row r="20" spans="2:11" x14ac:dyDescent="0.2">
      <c r="B20"/>
    </row>
  </sheetData>
  <sheetProtection password="DACB" sheet="1" objects="1" scenarios="1"/>
  <mergeCells count="5">
    <mergeCell ref="B17:K17"/>
    <mergeCell ref="D1:K2"/>
    <mergeCell ref="A4:K5"/>
    <mergeCell ref="A7:K7"/>
    <mergeCell ref="B13:K13"/>
  </mergeCells>
  <hyperlinks>
    <hyperlink ref="A4:K5" r:id="rId1" display="mailto:sales@solray.co.uk?subject=Enquiry" xr:uid="{00000000-0004-0000-0000-000000000000}"/>
  </hyperlinks>
  <printOptions horizontalCentered="1" verticalCentered="1"/>
  <pageMargins left="0.70866141732283472" right="0.70866141732283472" top="0.74803149606299213" bottom="0.74803149606299213" header="0.31496062992125984"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D68"/>
  <sheetViews>
    <sheetView zoomScale="90" zoomScaleNormal="90" workbookViewId="0">
      <pane ySplit="2" topLeftCell="A3" activePane="bottomLeft" state="frozenSplit"/>
      <selection pane="bottomLeft" activeCell="B4" sqref="B4:Q5"/>
    </sheetView>
  </sheetViews>
  <sheetFormatPr defaultRowHeight="12.75" x14ac:dyDescent="0.2"/>
  <cols>
    <col min="1" max="1" width="0.42578125" style="197" customWidth="1"/>
    <col min="2" max="2" width="17.7109375" style="197" customWidth="1"/>
    <col min="3" max="3" width="7.5703125" style="197" customWidth="1"/>
    <col min="4" max="4" width="10.140625" style="197" customWidth="1"/>
    <col min="5" max="6" width="6" style="197" customWidth="1"/>
    <col min="7" max="7" width="6.28515625" style="197" customWidth="1"/>
    <col min="8" max="9" width="8.5703125" style="197" customWidth="1"/>
    <col min="10" max="10" width="9.140625" style="12" customWidth="1"/>
    <col min="11" max="12" width="10.5703125" style="12" customWidth="1"/>
    <col min="13" max="13" width="21.7109375" style="12" customWidth="1"/>
    <col min="14" max="14" width="25.7109375" style="12" customWidth="1"/>
    <col min="15" max="15" width="10.42578125" style="12" customWidth="1"/>
    <col min="16" max="16" width="11.140625" style="12" customWidth="1"/>
    <col min="17" max="17" width="10.42578125" style="12" customWidth="1"/>
    <col min="18" max="18" width="1" style="10" customWidth="1"/>
    <col min="19" max="19" width="9.140625" style="10" customWidth="1"/>
    <col min="20" max="24" width="9.140625" style="177"/>
    <col min="25" max="25" width="7" style="177" customWidth="1"/>
    <col min="26" max="30" width="9.140625" style="177"/>
    <col min="31" max="16384" width="9.140625" style="197"/>
  </cols>
  <sheetData>
    <row r="1" spans="1:30" s="177" customFormat="1" ht="15.75" customHeight="1" x14ac:dyDescent="0.2">
      <c r="A1" s="10"/>
      <c r="B1" s="10"/>
      <c r="C1" s="10"/>
      <c r="D1" s="10"/>
      <c r="E1" s="222" t="str">
        <f ca="1">"Solray "&amp;IF(C17=90,"Ceiling",IF(C17=0,"Wall",IF(C17=-90,"Floor",IF(AND(C17&gt;0,C17&lt;90),"Angled","Error"))))&amp;" Panel "&amp;C23</f>
        <v>Solray Ceiling Panel Emissions per area (W/m²)</v>
      </c>
      <c r="F1" s="222"/>
      <c r="G1" s="222"/>
      <c r="H1" s="222"/>
      <c r="I1" s="222"/>
      <c r="J1" s="222"/>
      <c r="K1" s="222"/>
      <c r="L1" s="222"/>
      <c r="M1" s="222"/>
      <c r="N1" s="222"/>
      <c r="O1" s="222"/>
      <c r="P1" s="222"/>
      <c r="Q1" s="222"/>
      <c r="R1" s="10"/>
      <c r="S1" s="10"/>
      <c r="T1" s="10"/>
      <c r="U1" s="10"/>
      <c r="V1" s="10"/>
      <c r="W1" s="10"/>
      <c r="X1" s="10"/>
      <c r="Y1" s="10"/>
      <c r="Z1" s="10"/>
    </row>
    <row r="2" spans="1:30" s="177" customFormat="1" ht="16.5" customHeight="1" x14ac:dyDescent="0.2">
      <c r="B2" s="11"/>
      <c r="C2" s="11"/>
      <c r="D2" s="11"/>
      <c r="E2" s="222"/>
      <c r="F2" s="222"/>
      <c r="G2" s="222"/>
      <c r="H2" s="222"/>
      <c r="I2" s="222"/>
      <c r="J2" s="222"/>
      <c r="K2" s="222"/>
      <c r="L2" s="222"/>
      <c r="M2" s="222"/>
      <c r="N2" s="222"/>
      <c r="O2" s="222"/>
      <c r="P2" s="222"/>
      <c r="Q2" s="222"/>
      <c r="R2" s="10"/>
      <c r="S2" s="11"/>
      <c r="T2" s="11"/>
      <c r="U2" s="11"/>
      <c r="V2" s="10"/>
      <c r="W2" s="10"/>
      <c r="X2" s="10"/>
      <c r="Y2" s="10"/>
      <c r="Z2" s="10"/>
    </row>
    <row r="3" spans="1:30" ht="11.25" customHeight="1" x14ac:dyDescent="0.2">
      <c r="A3" s="10"/>
      <c r="B3" s="10"/>
      <c r="C3" s="10"/>
      <c r="D3" s="11"/>
      <c r="E3" s="11"/>
      <c r="F3" s="10"/>
      <c r="G3" s="10"/>
      <c r="H3" s="11"/>
      <c r="I3" s="11"/>
      <c r="J3" s="10"/>
      <c r="K3" s="10"/>
      <c r="L3" s="10"/>
      <c r="M3" s="10"/>
      <c r="N3" s="10"/>
      <c r="O3" s="11"/>
      <c r="P3" s="10"/>
      <c r="Q3" s="38" t="s">
        <v>158</v>
      </c>
      <c r="R3" s="11"/>
      <c r="S3" s="11"/>
      <c r="T3" s="11"/>
      <c r="U3" s="10"/>
      <c r="V3" s="10"/>
      <c r="W3" s="10"/>
      <c r="X3" s="10"/>
      <c r="Y3" s="10"/>
    </row>
    <row r="4" spans="1:30" ht="12.75" customHeight="1" x14ac:dyDescent="0.2">
      <c r="A4" s="10"/>
      <c r="B4" s="223" t="s">
        <v>42</v>
      </c>
      <c r="C4" s="223"/>
      <c r="D4" s="223"/>
      <c r="E4" s="223"/>
      <c r="F4" s="223"/>
      <c r="G4" s="223"/>
      <c r="H4" s="223"/>
      <c r="I4" s="223"/>
      <c r="J4" s="223"/>
      <c r="K4" s="223"/>
      <c r="L4" s="223"/>
      <c r="M4" s="223"/>
      <c r="N4" s="223"/>
      <c r="O4" s="223"/>
      <c r="P4" s="223"/>
      <c r="Q4" s="223"/>
      <c r="R4" s="11"/>
      <c r="S4" s="11"/>
      <c r="T4" s="11"/>
      <c r="U4" s="10"/>
      <c r="V4" s="10"/>
      <c r="W4" s="10"/>
      <c r="X4" s="10"/>
      <c r="Y4" s="10"/>
    </row>
    <row r="5" spans="1:30" x14ac:dyDescent="0.2">
      <c r="A5" s="10"/>
      <c r="B5" s="223"/>
      <c r="C5" s="223"/>
      <c r="D5" s="223"/>
      <c r="E5" s="223"/>
      <c r="F5" s="223"/>
      <c r="G5" s="223"/>
      <c r="H5" s="223"/>
      <c r="I5" s="223"/>
      <c r="J5" s="223"/>
      <c r="K5" s="223"/>
      <c r="L5" s="223"/>
      <c r="M5" s="223"/>
      <c r="N5" s="223"/>
      <c r="O5" s="223"/>
      <c r="P5" s="223"/>
      <c r="Q5" s="223"/>
      <c r="R5" s="11"/>
      <c r="S5" s="11"/>
      <c r="T5" s="11"/>
      <c r="U5" s="10"/>
      <c r="V5" s="10"/>
      <c r="W5" s="10"/>
      <c r="X5" s="10"/>
      <c r="Y5" s="10"/>
    </row>
    <row r="6" spans="1:30" ht="3.75" customHeight="1" x14ac:dyDescent="0.2">
      <c r="A6" s="10"/>
      <c r="B6" s="10"/>
      <c r="C6" s="10"/>
      <c r="D6" s="11"/>
      <c r="E6" s="11"/>
      <c r="F6" s="10"/>
      <c r="G6" s="10"/>
      <c r="H6" s="11"/>
      <c r="I6" s="11"/>
      <c r="J6" s="10"/>
      <c r="K6" s="10"/>
      <c r="L6" s="10"/>
      <c r="M6" s="10"/>
      <c r="N6" s="10"/>
      <c r="O6" s="11"/>
      <c r="P6" s="10"/>
      <c r="Q6" s="38"/>
      <c r="R6" s="11"/>
      <c r="S6" s="11"/>
      <c r="T6" s="11"/>
      <c r="U6" s="10"/>
      <c r="V6" s="10"/>
      <c r="W6" s="10"/>
      <c r="X6" s="10"/>
      <c r="Y6" s="10"/>
    </row>
    <row r="7" spans="1:30" x14ac:dyDescent="0.2">
      <c r="A7" s="10"/>
      <c r="B7" s="230" t="s">
        <v>113</v>
      </c>
      <c r="C7" s="230"/>
      <c r="D7" s="230"/>
      <c r="E7" s="230"/>
      <c r="F7" s="230"/>
      <c r="G7" s="230"/>
      <c r="H7" s="230"/>
      <c r="I7" s="230"/>
      <c r="J7" s="230"/>
      <c r="K7" s="230"/>
      <c r="L7" s="230"/>
      <c r="M7" s="230"/>
      <c r="N7" s="230"/>
      <c r="O7" s="230"/>
      <c r="P7" s="230"/>
      <c r="Q7" s="230"/>
      <c r="R7" s="11"/>
      <c r="S7" s="11"/>
      <c r="T7" s="11"/>
      <c r="U7" s="10"/>
      <c r="V7" s="10"/>
      <c r="W7" s="10"/>
      <c r="X7" s="10"/>
      <c r="Y7" s="10"/>
    </row>
    <row r="8" spans="1:30" x14ac:dyDescent="0.2">
      <c r="A8" s="10"/>
      <c r="B8" s="230"/>
      <c r="C8" s="230"/>
      <c r="D8" s="230"/>
      <c r="E8" s="230"/>
      <c r="F8" s="230"/>
      <c r="G8" s="230"/>
      <c r="H8" s="230"/>
      <c r="I8" s="230"/>
      <c r="J8" s="230"/>
      <c r="K8" s="230"/>
      <c r="L8" s="230"/>
      <c r="M8" s="230"/>
      <c r="N8" s="230"/>
      <c r="O8" s="230"/>
      <c r="P8" s="230"/>
      <c r="Q8" s="230"/>
      <c r="R8" s="11"/>
      <c r="S8" s="11"/>
      <c r="T8" s="11"/>
      <c r="U8" s="10"/>
      <c r="V8" s="10"/>
      <c r="W8" s="10"/>
      <c r="X8" s="10"/>
      <c r="Y8" s="10"/>
    </row>
    <row r="9" spans="1:30" ht="6" customHeight="1" x14ac:dyDescent="0.2">
      <c r="A9" s="10"/>
      <c r="B9" s="10"/>
      <c r="C9" s="10"/>
      <c r="D9" s="11"/>
      <c r="E9" s="11"/>
      <c r="F9" s="10"/>
      <c r="G9" s="10"/>
      <c r="H9" s="11"/>
      <c r="I9" s="11"/>
      <c r="J9" s="10"/>
      <c r="K9" s="10"/>
      <c r="L9" s="10"/>
      <c r="M9" s="10"/>
      <c r="N9" s="10"/>
      <c r="O9" s="11"/>
      <c r="P9" s="10"/>
      <c r="Q9" s="38"/>
      <c r="R9" s="11"/>
      <c r="S9" s="11"/>
      <c r="T9" s="11"/>
      <c r="U9" s="10"/>
      <c r="V9" s="10"/>
      <c r="W9" s="10"/>
      <c r="X9" s="10"/>
      <c r="Y9" s="10"/>
    </row>
    <row r="10" spans="1:30" s="198" customFormat="1" x14ac:dyDescent="0.2">
      <c r="A10" s="5"/>
      <c r="B10" s="9" t="s">
        <v>48</v>
      </c>
      <c r="C10" s="185"/>
      <c r="D10" s="171"/>
      <c r="E10" s="171"/>
      <c r="F10" s="171"/>
      <c r="G10" s="171"/>
      <c r="H10" s="171"/>
      <c r="I10" s="171"/>
      <c r="J10" s="171"/>
      <c r="K10" s="171"/>
      <c r="L10" s="171"/>
      <c r="M10" s="9" t="s">
        <v>111</v>
      </c>
      <c r="N10" s="186"/>
      <c r="O10" s="9" t="s">
        <v>49</v>
      </c>
      <c r="P10" s="172"/>
      <c r="Q10" s="172"/>
      <c r="R10" s="5"/>
      <c r="S10" s="5"/>
      <c r="T10" s="5"/>
      <c r="U10" s="5"/>
      <c r="V10" s="5"/>
      <c r="W10" s="39"/>
      <c r="X10" s="39"/>
      <c r="Y10" s="39"/>
      <c r="Z10" s="39"/>
      <c r="AA10" s="41"/>
      <c r="AB10" s="41"/>
      <c r="AC10" s="41"/>
      <c r="AD10" s="41"/>
    </row>
    <row r="11" spans="1:30" ht="6.75" customHeight="1" thickBot="1" x14ac:dyDescent="0.25">
      <c r="A11" s="10"/>
      <c r="B11" s="10"/>
      <c r="C11" s="10"/>
      <c r="D11" s="10"/>
      <c r="E11" s="10"/>
      <c r="F11" s="10"/>
      <c r="G11" s="10"/>
      <c r="H11" s="10"/>
      <c r="I11" s="10"/>
      <c r="J11" s="10"/>
      <c r="K11" s="10"/>
      <c r="L11" s="10"/>
      <c r="M11" s="10"/>
      <c r="N11" s="10"/>
      <c r="O11" s="10"/>
      <c r="P11" s="10"/>
      <c r="Q11" s="10"/>
      <c r="T11" s="10"/>
      <c r="U11" s="10"/>
      <c r="V11" s="10"/>
      <c r="W11" s="10"/>
      <c r="X11" s="10"/>
      <c r="Y11" s="10"/>
      <c r="Z11" s="10"/>
    </row>
    <row r="12" spans="1:30" ht="17.25" customHeight="1" x14ac:dyDescent="0.2">
      <c r="A12" s="10"/>
      <c r="B12" s="54" t="s">
        <v>14</v>
      </c>
      <c r="C12" s="55"/>
      <c r="D12" s="187" t="s">
        <v>28</v>
      </c>
      <c r="E12" s="56" t="str">
        <f>INDEX(MatList,MatIndex)</f>
        <v>Painted Aluminium</v>
      </c>
      <c r="F12" s="57"/>
      <c r="G12" s="57"/>
      <c r="H12" s="57"/>
      <c r="I12" s="58"/>
      <c r="J12" s="10"/>
      <c r="Q12" s="10"/>
      <c r="T12" s="10"/>
      <c r="U12" s="10"/>
      <c r="V12" s="10"/>
      <c r="W12" s="10"/>
      <c r="X12" s="10"/>
      <c r="Y12" s="10"/>
      <c r="Z12" s="10"/>
    </row>
    <row r="13" spans="1:30" ht="15.75" customHeight="1" x14ac:dyDescent="0.2">
      <c r="A13" s="10"/>
      <c r="B13" s="59" t="s">
        <v>56</v>
      </c>
      <c r="C13" s="5"/>
      <c r="D13" s="188" t="s">
        <v>27</v>
      </c>
      <c r="E13" s="41" t="str">
        <f>INDEX(MediumList,MediumIndex)</f>
        <v>Hot Water</v>
      </c>
      <c r="F13" s="41"/>
      <c r="G13" s="41"/>
      <c r="H13" s="41"/>
      <c r="I13" s="60"/>
      <c r="J13" s="10"/>
      <c r="Q13" s="10"/>
      <c r="S13" s="11"/>
      <c r="T13" s="11"/>
      <c r="U13" s="10"/>
      <c r="V13" s="10"/>
      <c r="W13" s="10"/>
      <c r="X13" s="10"/>
      <c r="Y13" s="10"/>
      <c r="Z13" s="10"/>
    </row>
    <row r="14" spans="1:30" ht="15.75" customHeight="1" x14ac:dyDescent="0.2">
      <c r="A14" s="10"/>
      <c r="B14" s="59" t="s">
        <v>33</v>
      </c>
      <c r="C14" s="189">
        <v>600</v>
      </c>
      <c r="D14" s="42" t="str">
        <f>"mm  Panel "&amp;IF(OR(Angle=90,Angle=-90),"width","height")</f>
        <v>mm  Panel width</v>
      </c>
      <c r="E14" s="5"/>
      <c r="F14" s="5"/>
      <c r="G14" s="5"/>
      <c r="H14" s="5"/>
      <c r="I14" s="61"/>
      <c r="J14" s="10"/>
      <c r="Q14" s="10"/>
      <c r="T14" s="10"/>
      <c r="U14" s="10"/>
      <c r="V14" s="10"/>
      <c r="W14" s="10"/>
      <c r="X14" s="10"/>
      <c r="Y14" s="10"/>
      <c r="Z14" s="10"/>
    </row>
    <row r="15" spans="1:30" x14ac:dyDescent="0.2">
      <c r="A15" s="10"/>
      <c r="B15" s="59" t="s">
        <v>34</v>
      </c>
      <c r="C15" s="190">
        <v>2.7</v>
      </c>
      <c r="D15" s="43" t="s">
        <v>58</v>
      </c>
      <c r="E15" s="5"/>
      <c r="F15" s="5"/>
      <c r="G15" s="5"/>
      <c r="H15" s="5"/>
      <c r="I15" s="61"/>
      <c r="J15" s="10"/>
      <c r="Q15" s="10"/>
      <c r="T15" s="10"/>
      <c r="U15" s="10"/>
      <c r="V15" s="10"/>
      <c r="W15" s="10"/>
      <c r="X15" s="10"/>
      <c r="Y15" s="10"/>
      <c r="Z15" s="10"/>
    </row>
    <row r="16" spans="1:30" x14ac:dyDescent="0.2">
      <c r="A16" s="10"/>
      <c r="B16" s="59"/>
      <c r="C16" s="53">
        <f>IF($B$30&gt;$E$25,FLOOR(Mounting,4.01)/4.01*0.05,0)</f>
        <v>0</v>
      </c>
      <c r="D16" s="45" t="s">
        <v>6</v>
      </c>
      <c r="E16" s="5"/>
      <c r="F16" s="5"/>
      <c r="G16" s="5"/>
      <c r="H16" s="5"/>
      <c r="I16" s="61"/>
      <c r="J16" s="10"/>
      <c r="Q16" s="10"/>
      <c r="T16" s="10"/>
      <c r="U16" s="10"/>
      <c r="V16" s="10"/>
      <c r="W16" s="10"/>
      <c r="X16" s="10"/>
      <c r="Y16" s="10"/>
      <c r="Z16" s="10"/>
    </row>
    <row r="17" spans="1:26" x14ac:dyDescent="0.2">
      <c r="A17" s="10"/>
      <c r="B17" s="59" t="s">
        <v>35</v>
      </c>
      <c r="C17" s="191">
        <v>90</v>
      </c>
      <c r="D17" s="42" t="s">
        <v>10</v>
      </c>
      <c r="E17" s="5"/>
      <c r="F17" s="5"/>
      <c r="G17" s="5"/>
      <c r="H17" s="5"/>
      <c r="I17" s="61"/>
      <c r="J17" s="10"/>
      <c r="Q17" s="10"/>
      <c r="T17" s="10"/>
      <c r="U17" s="10"/>
      <c r="V17" s="10"/>
      <c r="W17" s="10"/>
      <c r="X17" s="10"/>
      <c r="Y17" s="10"/>
      <c r="Z17" s="10"/>
    </row>
    <row r="18" spans="1:26" x14ac:dyDescent="0.2">
      <c r="A18" s="10"/>
      <c r="B18" s="59" t="s">
        <v>46</v>
      </c>
      <c r="C18" s="191">
        <v>0</v>
      </c>
      <c r="D18" s="44" t="s">
        <v>5</v>
      </c>
      <c r="E18" s="5"/>
      <c r="F18" s="5"/>
      <c r="G18" s="5"/>
      <c r="H18" s="5"/>
      <c r="I18" s="61"/>
      <c r="J18" s="10"/>
      <c r="Q18" s="10"/>
      <c r="T18" s="10"/>
      <c r="U18" s="10"/>
      <c r="V18" s="10"/>
      <c r="W18" s="10"/>
      <c r="X18" s="10"/>
      <c r="Y18" s="10"/>
      <c r="Z18" s="10"/>
    </row>
    <row r="19" spans="1:26" ht="13.5" thickBot="1" x14ac:dyDescent="0.25">
      <c r="A19" s="10"/>
      <c r="B19" s="62"/>
      <c r="C19" s="63">
        <f>IF(C17=0,IF(C18&gt;100,100,C18)/100,0)</f>
        <v>0</v>
      </c>
      <c r="D19" s="183" t="s">
        <v>125</v>
      </c>
      <c r="E19" s="64"/>
      <c r="F19" s="65"/>
      <c r="G19" s="66">
        <f>IF(C17=0,IF(C18&gt;100,100,C18)/100,0)</f>
        <v>0</v>
      </c>
      <c r="H19" s="67"/>
      <c r="I19" s="68"/>
      <c r="J19" s="10"/>
      <c r="Q19" s="10"/>
      <c r="T19" s="10"/>
      <c r="U19" s="10"/>
      <c r="V19" s="10"/>
      <c r="W19" s="10"/>
      <c r="X19" s="10"/>
      <c r="Y19" s="10"/>
      <c r="Z19" s="10"/>
    </row>
    <row r="20" spans="1:26" x14ac:dyDescent="0.2">
      <c r="A20" s="10"/>
      <c r="B20" s="40">
        <f>IF($B$30&gt;$E$25,IF(Angle&lt;0,20%,IF(Mounting=0,IF(Width&lt;301,20%,IF(Width&lt;601,10%,0)),0)),IF(Angle&gt;0,20%,0))</f>
        <v>0</v>
      </c>
      <c r="C20" s="10" t="str">
        <f>IF($B$30&gt;$E$25,IF(Angle&lt;0," extra convection for heated floor panels",IF(AND(Mounting=0,Width&lt;601)," extra convection for low level skirting panels","")),IF(Angle&gt;0," extra convection for chilled ceiling panels",""))</f>
        <v/>
      </c>
      <c r="D20" s="10"/>
      <c r="E20" s="10"/>
      <c r="F20" s="10"/>
      <c r="G20" s="10"/>
      <c r="H20" s="10"/>
      <c r="I20" s="10"/>
      <c r="J20" s="10"/>
      <c r="Q20" s="10"/>
      <c r="T20" s="10"/>
      <c r="U20" s="10"/>
      <c r="V20" s="10"/>
      <c r="W20" s="10"/>
      <c r="X20" s="10"/>
      <c r="Y20" s="10"/>
      <c r="Z20" s="10"/>
    </row>
    <row r="21" spans="1:26" x14ac:dyDescent="0.2">
      <c r="A21" s="10"/>
      <c r="B21" s="145" t="s">
        <v>114</v>
      </c>
      <c r="C21" s="181" t="str">
        <f>INDEX(Calculations!F22:F23,EmissionsBasis)</f>
        <v>by heated panel area</v>
      </c>
      <c r="F21" s="10"/>
      <c r="G21" s="10"/>
      <c r="H21" s="10"/>
      <c r="I21" s="10"/>
      <c r="J21" s="10"/>
      <c r="Q21" s="10"/>
      <c r="T21" s="10"/>
      <c r="U21" s="10"/>
      <c r="V21" s="10"/>
      <c r="W21" s="10"/>
      <c r="X21" s="10"/>
      <c r="Y21" s="10"/>
      <c r="Z21" s="10"/>
    </row>
    <row r="22" spans="1:26" ht="13.5" thickBot="1" x14ac:dyDescent="0.25">
      <c r="A22" s="10"/>
      <c r="F22" s="10"/>
      <c r="G22" s="10"/>
      <c r="H22" s="10"/>
      <c r="I22" s="10"/>
      <c r="J22" s="10"/>
      <c r="Q22" s="10"/>
      <c r="T22" s="10"/>
      <c r="U22" s="10"/>
      <c r="V22" s="10"/>
      <c r="W22" s="10"/>
      <c r="X22" s="10"/>
      <c r="Y22" s="10"/>
      <c r="Z22" s="10"/>
    </row>
    <row r="23" spans="1:26" x14ac:dyDescent="0.2">
      <c r="A23" s="10"/>
      <c r="B23" s="69" t="str">
        <f>"Mean "&amp;IF(Medium=Electric,"Face","Water")</f>
        <v>Mean Water</v>
      </c>
      <c r="C23" s="70" t="str">
        <f ca="1">IF(EmissionsBasis=OFFSET(EmissionsByArea,0,-1),"Emissions per area (W/m²)",IF(EmissionsBasis=OFFSET(EmissionsByLength,0,-1),"Emissions per metre (W/m) of a " &amp; Width &amp; "mm " &amp; IF(ABS(Angle)&lt;45,"high","wide") &amp; " panel","?"))</f>
        <v>Emissions per area (W/m²)</v>
      </c>
      <c r="D23" s="71"/>
      <c r="E23" s="71"/>
      <c r="F23" s="71"/>
      <c r="G23" s="71"/>
      <c r="H23" s="72"/>
      <c r="I23" s="73"/>
      <c r="J23" s="10"/>
      <c r="Q23" s="10"/>
      <c r="T23" s="10"/>
      <c r="U23" s="10"/>
      <c r="V23" s="10"/>
      <c r="W23" s="10"/>
      <c r="X23" s="10"/>
      <c r="Y23" s="10"/>
      <c r="Z23" s="10"/>
    </row>
    <row r="24" spans="1:26" x14ac:dyDescent="0.2">
      <c r="A24" s="10"/>
      <c r="B24" s="74" t="s">
        <v>7</v>
      </c>
      <c r="C24" s="18" t="s">
        <v>9</v>
      </c>
      <c r="D24" s="19"/>
      <c r="E24" s="19"/>
      <c r="F24" s="19"/>
      <c r="G24" s="19"/>
      <c r="H24" s="17"/>
      <c r="I24" s="75"/>
      <c r="J24" s="10"/>
      <c r="Q24" s="10"/>
      <c r="T24" s="10"/>
      <c r="U24" s="10"/>
      <c r="V24" s="10"/>
      <c r="W24" s="10"/>
      <c r="X24" s="10"/>
      <c r="Y24" s="10"/>
      <c r="Z24" s="10"/>
    </row>
    <row r="25" spans="1:26" x14ac:dyDescent="0.2">
      <c r="A25" s="10"/>
      <c r="B25" s="76" t="s">
        <v>0</v>
      </c>
      <c r="C25" s="192">
        <v>16</v>
      </c>
      <c r="D25" s="193">
        <v>17</v>
      </c>
      <c r="E25" s="193">
        <v>18</v>
      </c>
      <c r="F25" s="193">
        <v>19</v>
      </c>
      <c r="G25" s="193">
        <v>20</v>
      </c>
      <c r="H25" s="193">
        <v>21</v>
      </c>
      <c r="I25" s="194">
        <v>25</v>
      </c>
      <c r="J25" s="10">
        <v>22</v>
      </c>
      <c r="Q25" s="10"/>
      <c r="T25" s="10"/>
      <c r="U25" s="10"/>
      <c r="V25" s="10"/>
      <c r="W25" s="10"/>
      <c r="X25" s="10"/>
      <c r="Y25" s="10"/>
      <c r="Z25" s="10"/>
    </row>
    <row r="26" spans="1:26" ht="14.25" customHeight="1" x14ac:dyDescent="0.2">
      <c r="A26" s="10"/>
      <c r="B26" s="195">
        <v>60</v>
      </c>
      <c r="C26" s="52">
        <f ca="1">INT(Calculations!C6/5+0.5)*5</f>
        <v>360</v>
      </c>
      <c r="D26" s="20">
        <f ca="1">INT(Calculations!D6/5+0.5)*5</f>
        <v>350</v>
      </c>
      <c r="E26" s="21">
        <f ca="1">INT(Calculations!E6/5+0.5)*5</f>
        <v>345</v>
      </c>
      <c r="F26" s="22">
        <f ca="1">INT(Calculations!F6/5+0.5)*5</f>
        <v>335</v>
      </c>
      <c r="G26" s="23">
        <f ca="1">INT(Calculations!G6/5+0.5)*5</f>
        <v>330</v>
      </c>
      <c r="H26" s="51">
        <f ca="1">INT(Calculations!H6/5+0.5)*5</f>
        <v>320</v>
      </c>
      <c r="I26" s="111">
        <f ca="1">INT(Calculations!I6/5+0.5)*5</f>
        <v>290</v>
      </c>
      <c r="J26" s="10"/>
      <c r="Q26" s="10"/>
      <c r="T26" s="10"/>
      <c r="U26" s="10"/>
      <c r="V26" s="10"/>
      <c r="W26" s="10"/>
      <c r="X26" s="10"/>
      <c r="Y26" s="10"/>
      <c r="Z26" s="10"/>
    </row>
    <row r="27" spans="1:26" x14ac:dyDescent="0.2">
      <c r="A27" s="10"/>
      <c r="B27" s="195">
        <v>65</v>
      </c>
      <c r="C27" s="52">
        <f ca="1">INT(Calculations!C7/5+0.5)*5</f>
        <v>410</v>
      </c>
      <c r="D27" s="20">
        <f ca="1">INT(Calculations!D7/5+0.5)*5</f>
        <v>400</v>
      </c>
      <c r="E27" s="21">
        <f ca="1">INT(Calculations!E7/5+0.5)*5</f>
        <v>395</v>
      </c>
      <c r="F27" s="22">
        <f ca="1">INT(Calculations!F7/5+0.5)*5</f>
        <v>385</v>
      </c>
      <c r="G27" s="23">
        <f ca="1">INT(Calculations!G7/5+0.5)*5</f>
        <v>380</v>
      </c>
      <c r="H27" s="51">
        <f ca="1">INT(Calculations!H7/5+0.5)*5</f>
        <v>370</v>
      </c>
      <c r="I27" s="111">
        <f ca="1">INT(Calculations!I7/5+0.5)*5</f>
        <v>340</v>
      </c>
      <c r="J27" s="10"/>
      <c r="Q27" s="10"/>
      <c r="T27" s="10"/>
      <c r="U27" s="10"/>
      <c r="V27" s="10"/>
      <c r="W27" s="10"/>
      <c r="X27" s="10"/>
      <c r="Y27" s="10"/>
      <c r="Z27" s="10"/>
    </row>
    <row r="28" spans="1:26" x14ac:dyDescent="0.2">
      <c r="A28" s="10"/>
      <c r="B28" s="195">
        <v>70</v>
      </c>
      <c r="C28" s="52">
        <f ca="1">INT(Calculations!C8/5+0.5)*5</f>
        <v>460</v>
      </c>
      <c r="D28" s="20">
        <f ca="1">INT(Calculations!D8/5+0.5)*5</f>
        <v>455</v>
      </c>
      <c r="E28" s="21">
        <f ca="1">INT(Calculations!E8/5+0.5)*5</f>
        <v>445</v>
      </c>
      <c r="F28" s="22">
        <f ca="1">INT(Calculations!F8/5+0.5)*5</f>
        <v>440</v>
      </c>
      <c r="G28" s="23">
        <f ca="1">INT(Calculations!G8/5+0.5)*5</f>
        <v>430</v>
      </c>
      <c r="H28" s="51">
        <f ca="1">INT(Calculations!H8/5+0.5)*5</f>
        <v>420</v>
      </c>
      <c r="I28" s="111">
        <f ca="1">INT(Calculations!I8/5+0.5)*5</f>
        <v>390</v>
      </c>
      <c r="J28" s="10"/>
      <c r="Q28" s="10"/>
      <c r="T28" s="10"/>
      <c r="U28" s="10"/>
      <c r="V28" s="10"/>
      <c r="W28" s="10"/>
      <c r="X28" s="10"/>
      <c r="Y28" s="10"/>
      <c r="Z28" s="10"/>
    </row>
    <row r="29" spans="1:26" x14ac:dyDescent="0.2">
      <c r="A29" s="10"/>
      <c r="B29" s="195">
        <v>75</v>
      </c>
      <c r="C29" s="52">
        <f ca="1">INT(Calculations!C9/5+0.5)*5</f>
        <v>515</v>
      </c>
      <c r="D29" s="20">
        <f ca="1">INT(Calculations!D9/5+0.5)*5</f>
        <v>510</v>
      </c>
      <c r="E29" s="21">
        <f ca="1">INT(Calculations!E9/5+0.5)*5</f>
        <v>500</v>
      </c>
      <c r="F29" s="22">
        <f ca="1">INT(Calculations!F9/5+0.5)*5</f>
        <v>490</v>
      </c>
      <c r="G29" s="23">
        <f ca="1">INT(Calculations!G9/5+0.5)*5</f>
        <v>485</v>
      </c>
      <c r="H29" s="51">
        <f ca="1">INT(Calculations!H9/5+0.5)*5</f>
        <v>475</v>
      </c>
      <c r="I29" s="111">
        <f ca="1">INT(Calculations!I9/5+0.5)*5</f>
        <v>445</v>
      </c>
      <c r="J29" s="10"/>
      <c r="Q29" s="10"/>
      <c r="T29" s="10"/>
      <c r="U29" s="10"/>
      <c r="V29" s="10"/>
      <c r="W29" s="10"/>
      <c r="X29" s="10"/>
      <c r="Y29" s="10"/>
      <c r="Z29" s="10"/>
    </row>
    <row r="30" spans="1:26" x14ac:dyDescent="0.2">
      <c r="A30" s="10"/>
      <c r="B30" s="195">
        <v>76.67</v>
      </c>
      <c r="C30" s="52">
        <f ca="1">INT(Calculations!C10/5+0.5)*5</f>
        <v>535</v>
      </c>
      <c r="D30" s="20">
        <f ca="1">INT(Calculations!D10/5+0.5)*5</f>
        <v>525</v>
      </c>
      <c r="E30" s="21">
        <f ca="1">INT(Calculations!E10/5+0.5)*5</f>
        <v>520</v>
      </c>
      <c r="F30" s="22">
        <f ca="1">INT(Calculations!F10/5+0.5)*5</f>
        <v>510</v>
      </c>
      <c r="G30" s="23">
        <f ca="1">INT(Calculations!G10/5+0.5)*5</f>
        <v>500</v>
      </c>
      <c r="H30" s="51">
        <f ca="1">INT(Calculations!H10/5+0.5)*5</f>
        <v>495</v>
      </c>
      <c r="I30" s="111">
        <f ca="1">INT(Calculations!I10/5+0.5)*5</f>
        <v>460</v>
      </c>
      <c r="J30" s="10"/>
      <c r="Q30" s="10"/>
      <c r="T30" s="10"/>
      <c r="U30" s="10"/>
      <c r="V30" s="10"/>
      <c r="W30" s="10"/>
      <c r="X30" s="10"/>
      <c r="Y30" s="10"/>
      <c r="Z30" s="10"/>
    </row>
    <row r="31" spans="1:26" ht="12.75" customHeight="1" x14ac:dyDescent="0.2">
      <c r="A31" s="10"/>
      <c r="B31" s="195">
        <v>80</v>
      </c>
      <c r="C31" s="52">
        <f ca="1">INT(Calculations!C11/5+0.5)*5</f>
        <v>570</v>
      </c>
      <c r="D31" s="20">
        <f ca="1">INT(Calculations!D11/5+0.5)*5</f>
        <v>565</v>
      </c>
      <c r="E31" s="21">
        <f ca="1">INT(Calculations!E11/5+0.5)*5</f>
        <v>555</v>
      </c>
      <c r="F31" s="22">
        <f ca="1">INT(Calculations!F11/5+0.5)*5</f>
        <v>550</v>
      </c>
      <c r="G31" s="23">
        <f ca="1">INT(Calculations!G11/5+0.5)*5</f>
        <v>540</v>
      </c>
      <c r="H31" s="51">
        <f ca="1">INT(Calculations!H11/5+0.5)*5</f>
        <v>530</v>
      </c>
      <c r="I31" s="111">
        <f ca="1">INT(Calculations!I11/5+0.5)*5</f>
        <v>500</v>
      </c>
      <c r="J31" s="10"/>
      <c r="Q31" s="10"/>
      <c r="T31" s="10"/>
      <c r="U31" s="10"/>
      <c r="V31" s="10"/>
      <c r="W31" s="10"/>
      <c r="X31" s="10"/>
      <c r="Y31" s="10"/>
      <c r="Z31" s="10"/>
    </row>
    <row r="32" spans="1:26" x14ac:dyDescent="0.2">
      <c r="A32" s="10"/>
      <c r="B32" s="195">
        <v>85</v>
      </c>
      <c r="C32" s="52">
        <f ca="1">INT(Calculations!C12/5+0.5)*5</f>
        <v>630</v>
      </c>
      <c r="D32" s="20">
        <f ca="1">INT(Calculations!D12/5+0.5)*5</f>
        <v>620</v>
      </c>
      <c r="E32" s="21">
        <f ca="1">INT(Calculations!E12/5+0.5)*5</f>
        <v>615</v>
      </c>
      <c r="F32" s="22">
        <f ca="1">INT(Calculations!F12/5+0.5)*5</f>
        <v>605</v>
      </c>
      <c r="G32" s="23">
        <f ca="1">INT(Calculations!G12/5+0.5)*5</f>
        <v>595</v>
      </c>
      <c r="H32" s="51">
        <f ca="1">INT(Calculations!H12/5+0.5)*5</f>
        <v>590</v>
      </c>
      <c r="I32" s="111">
        <f ca="1">INT(Calculations!I12/5+0.5)*5</f>
        <v>555</v>
      </c>
      <c r="J32" s="10"/>
      <c r="Q32" s="10"/>
      <c r="T32" s="10"/>
      <c r="U32" s="10"/>
      <c r="V32" s="10"/>
      <c r="W32" s="10"/>
      <c r="X32" s="10"/>
      <c r="Y32" s="10"/>
      <c r="Z32" s="10"/>
    </row>
    <row r="33" spans="1:26" x14ac:dyDescent="0.2">
      <c r="A33" s="10"/>
      <c r="B33" s="195">
        <v>90</v>
      </c>
      <c r="C33" s="52">
        <f ca="1">INT(Calculations!C13/5+0.5)*5</f>
        <v>690</v>
      </c>
      <c r="D33" s="20">
        <f ca="1">INT(Calculations!D13/5+0.5)*5</f>
        <v>680</v>
      </c>
      <c r="E33" s="21">
        <f ca="1">INT(Calculations!E13/5+0.5)*5</f>
        <v>675</v>
      </c>
      <c r="F33" s="22">
        <f ca="1">INT(Calculations!F13/5+0.5)*5</f>
        <v>665</v>
      </c>
      <c r="G33" s="23">
        <f ca="1">INT(Calculations!G13/5+0.5)*5</f>
        <v>655</v>
      </c>
      <c r="H33" s="51">
        <f ca="1">INT(Calculations!H13/5+0.5)*5</f>
        <v>650</v>
      </c>
      <c r="I33" s="111">
        <f ca="1">INT(Calculations!I13/5+0.5)*5</f>
        <v>615</v>
      </c>
      <c r="J33" s="10"/>
      <c r="Q33" s="10"/>
      <c r="T33" s="10"/>
      <c r="U33" s="10"/>
      <c r="V33" s="10"/>
      <c r="W33" s="10"/>
      <c r="X33" s="10"/>
      <c r="Y33" s="10"/>
      <c r="Z33" s="10"/>
    </row>
    <row r="34" spans="1:26" x14ac:dyDescent="0.2">
      <c r="A34" s="10"/>
      <c r="B34" s="195">
        <v>95</v>
      </c>
      <c r="C34" s="52">
        <f ca="1">INT(Calculations!C14/5+0.5)*5</f>
        <v>750</v>
      </c>
      <c r="D34" s="20">
        <f ca="1">INT(Calculations!D14/5+0.5)*5</f>
        <v>740</v>
      </c>
      <c r="E34" s="21">
        <f ca="1">INT(Calculations!E14/5+0.5)*5</f>
        <v>735</v>
      </c>
      <c r="F34" s="22">
        <f ca="1">INT(Calculations!F14/5+0.5)*5</f>
        <v>725</v>
      </c>
      <c r="G34" s="23">
        <f ca="1">INT(Calculations!G14/5+0.5)*5</f>
        <v>715</v>
      </c>
      <c r="H34" s="51">
        <f ca="1">INT(Calculations!H14/5+0.5)*5</f>
        <v>710</v>
      </c>
      <c r="I34" s="111">
        <f ca="1">INT(Calculations!I14/5+0.5)*5</f>
        <v>675</v>
      </c>
      <c r="J34" s="10"/>
      <c r="Q34" s="10"/>
      <c r="T34" s="10"/>
      <c r="U34" s="10"/>
      <c r="V34" s="10"/>
      <c r="W34" s="10"/>
      <c r="X34" s="10"/>
      <c r="Y34" s="10"/>
      <c r="Z34" s="10"/>
    </row>
    <row r="35" spans="1:26" x14ac:dyDescent="0.2">
      <c r="A35" s="10"/>
      <c r="B35" s="195">
        <v>100</v>
      </c>
      <c r="C35" s="52">
        <f ca="1">INT(Calculations!C15/5+0.5)*5</f>
        <v>815</v>
      </c>
      <c r="D35" s="20">
        <f ca="1">INT(Calculations!D15/5+0.5)*5</f>
        <v>805</v>
      </c>
      <c r="E35" s="21">
        <f ca="1">INT(Calculations!E15/5+0.5)*5</f>
        <v>795</v>
      </c>
      <c r="F35" s="22">
        <f ca="1">INT(Calculations!F15/5+0.5)*5</f>
        <v>790</v>
      </c>
      <c r="G35" s="23">
        <f ca="1">INT(Calculations!G15/5+0.5)*5</f>
        <v>780</v>
      </c>
      <c r="H35" s="51">
        <f ca="1">INT(Calculations!H15/5+0.5)*5</f>
        <v>770</v>
      </c>
      <c r="I35" s="111">
        <f ca="1">INT(Calculations!I15/5+0.5)*5</f>
        <v>740</v>
      </c>
      <c r="J35" s="10"/>
      <c r="Q35" s="10"/>
      <c r="T35" s="10"/>
      <c r="U35" s="10"/>
      <c r="V35" s="10"/>
      <c r="W35" s="10"/>
      <c r="X35" s="10"/>
      <c r="Y35" s="10"/>
      <c r="Z35" s="10"/>
    </row>
    <row r="36" spans="1:26" x14ac:dyDescent="0.2">
      <c r="A36" s="10"/>
      <c r="B36" s="195">
        <v>105</v>
      </c>
      <c r="C36" s="52">
        <f ca="1">INT(Calculations!C16/5+0.5)*5</f>
        <v>880</v>
      </c>
      <c r="D36" s="20">
        <f ca="1">INT(Calculations!D16/5+0.5)*5</f>
        <v>870</v>
      </c>
      <c r="E36" s="21">
        <f ca="1">INT(Calculations!E16/5+0.5)*5</f>
        <v>860</v>
      </c>
      <c r="F36" s="22">
        <f ca="1">INT(Calculations!F16/5+0.5)*5</f>
        <v>855</v>
      </c>
      <c r="G36" s="23">
        <f ca="1">INT(Calculations!G16/5+0.5)*5</f>
        <v>845</v>
      </c>
      <c r="H36" s="51">
        <f ca="1">INT(Calculations!H16/5+0.5)*5</f>
        <v>835</v>
      </c>
      <c r="I36" s="111">
        <f ca="1">INT(Calculations!I16/5+0.5)*5</f>
        <v>805</v>
      </c>
      <c r="J36" s="10"/>
      <c r="Q36" s="10"/>
      <c r="T36" s="10"/>
      <c r="U36" s="10"/>
      <c r="V36" s="10"/>
      <c r="W36" s="10"/>
      <c r="X36" s="10"/>
      <c r="Y36" s="10"/>
      <c r="Z36" s="10"/>
    </row>
    <row r="37" spans="1:26" x14ac:dyDescent="0.2">
      <c r="A37" s="10"/>
      <c r="B37" s="195">
        <v>110</v>
      </c>
      <c r="C37" s="52">
        <f ca="1">INT(Calculations!C17/5+0.5)*5</f>
        <v>945</v>
      </c>
      <c r="D37" s="20">
        <f ca="1">INT(Calculations!D17/5+0.5)*5</f>
        <v>935</v>
      </c>
      <c r="E37" s="21">
        <f ca="1">INT(Calculations!E17/5+0.5)*5</f>
        <v>930</v>
      </c>
      <c r="F37" s="22">
        <f ca="1">INT(Calculations!F17/5+0.5)*5</f>
        <v>920</v>
      </c>
      <c r="G37" s="23">
        <f ca="1">INT(Calculations!G17/5+0.5)*5</f>
        <v>910</v>
      </c>
      <c r="H37" s="51">
        <f ca="1">INT(Calculations!H17/5+0.5)*5</f>
        <v>905</v>
      </c>
      <c r="I37" s="111">
        <f ca="1">INT(Calculations!I17/5+0.5)*5</f>
        <v>870</v>
      </c>
      <c r="J37" s="10"/>
      <c r="Q37" s="10"/>
      <c r="T37" s="10"/>
      <c r="U37" s="10"/>
      <c r="V37" s="10"/>
      <c r="W37" s="10"/>
      <c r="X37" s="10"/>
      <c r="Y37" s="10"/>
      <c r="Z37" s="10"/>
    </row>
    <row r="38" spans="1:26" ht="13.5" thickBot="1" x14ac:dyDescent="0.25">
      <c r="A38" s="10"/>
      <c r="B38" s="196">
        <v>115</v>
      </c>
      <c r="C38" s="77">
        <f ca="1">INT(Calculations!C18/5+0.5)*5</f>
        <v>1015</v>
      </c>
      <c r="D38" s="78">
        <f ca="1">INT(Calculations!D18/5+0.5)*5</f>
        <v>1005</v>
      </c>
      <c r="E38" s="79">
        <f ca="1">INT(Calculations!E18/5+0.5)*5</f>
        <v>1000</v>
      </c>
      <c r="F38" s="80">
        <f ca="1">INT(Calculations!F18/5+0.5)*5</f>
        <v>990</v>
      </c>
      <c r="G38" s="81">
        <f ca="1">INT(Calculations!G18/5+0.5)*5</f>
        <v>980</v>
      </c>
      <c r="H38" s="82">
        <f ca="1">INT(Calculations!H18/5+0.5)*5</f>
        <v>970</v>
      </c>
      <c r="I38" s="112">
        <f ca="1">INT(Calculations!I18/5+0.5)*5</f>
        <v>940</v>
      </c>
      <c r="J38" s="10"/>
      <c r="Q38" s="10"/>
      <c r="T38" s="10"/>
      <c r="U38" s="10"/>
      <c r="V38" s="10"/>
      <c r="W38" s="10"/>
      <c r="X38" s="10"/>
      <c r="Y38" s="10"/>
      <c r="Z38" s="10"/>
    </row>
    <row r="39" spans="1:26" ht="13.5" thickBot="1" x14ac:dyDescent="0.25">
      <c r="A39" s="10"/>
      <c r="B39" s="10"/>
      <c r="C39" s="10"/>
      <c r="D39" s="10"/>
      <c r="E39" s="10"/>
      <c r="F39" s="10"/>
      <c r="G39" s="10"/>
      <c r="H39" s="10"/>
      <c r="I39" s="10"/>
      <c r="J39" s="10"/>
      <c r="K39" s="177"/>
      <c r="L39" s="10"/>
      <c r="M39" s="10"/>
      <c r="N39" s="10"/>
      <c r="O39" s="10"/>
      <c r="P39" s="10"/>
      <c r="Q39" s="10"/>
      <c r="U39" s="10"/>
      <c r="V39" s="10"/>
      <c r="W39" s="10"/>
      <c r="X39" s="10"/>
      <c r="Y39" s="10"/>
      <c r="Z39" s="10"/>
    </row>
    <row r="40" spans="1:26" x14ac:dyDescent="0.2">
      <c r="A40" s="10"/>
      <c r="B40" s="46" t="s">
        <v>43</v>
      </c>
      <c r="C40" s="47"/>
      <c r="D40" s="47"/>
      <c r="E40" s="47"/>
      <c r="F40" s="47"/>
      <c r="G40" s="47"/>
      <c r="H40" s="47"/>
      <c r="I40" s="47"/>
      <c r="J40" s="47"/>
      <c r="K40" s="47"/>
      <c r="L40" s="47"/>
      <c r="M40" s="47"/>
      <c r="N40" s="47"/>
      <c r="O40" s="47"/>
      <c r="P40" s="47"/>
      <c r="Q40" s="48"/>
      <c r="T40" s="10"/>
      <c r="U40" s="10"/>
      <c r="V40" s="10"/>
      <c r="W40" s="10"/>
      <c r="X40" s="10"/>
      <c r="Y40" s="10"/>
      <c r="Z40" s="10"/>
    </row>
    <row r="41" spans="1:26" x14ac:dyDescent="0.2">
      <c r="A41" s="10"/>
      <c r="B41" s="49" t="s">
        <v>33</v>
      </c>
      <c r="C41" s="226" t="s">
        <v>50</v>
      </c>
      <c r="D41" s="226"/>
      <c r="E41" s="226"/>
      <c r="F41" s="226"/>
      <c r="G41" s="226"/>
      <c r="H41" s="226"/>
      <c r="I41" s="226"/>
      <c r="J41" s="226"/>
      <c r="K41" s="226"/>
      <c r="L41" s="226"/>
      <c r="M41" s="226"/>
      <c r="N41" s="226"/>
      <c r="O41" s="226"/>
      <c r="P41" s="226"/>
      <c r="Q41" s="227"/>
      <c r="T41" s="10"/>
      <c r="U41" s="10"/>
      <c r="V41" s="10"/>
      <c r="W41" s="10"/>
      <c r="X41" s="10"/>
      <c r="Y41" s="10"/>
      <c r="Z41" s="10"/>
    </row>
    <row r="42" spans="1:26" x14ac:dyDescent="0.2">
      <c r="A42" s="10"/>
      <c r="B42" s="49" t="s">
        <v>34</v>
      </c>
      <c r="C42" s="226" t="s">
        <v>45</v>
      </c>
      <c r="D42" s="226"/>
      <c r="E42" s="226"/>
      <c r="F42" s="226"/>
      <c r="G42" s="226"/>
      <c r="H42" s="226"/>
      <c r="I42" s="226"/>
      <c r="J42" s="226"/>
      <c r="K42" s="226"/>
      <c r="L42" s="226"/>
      <c r="M42" s="226"/>
      <c r="N42" s="226"/>
      <c r="O42" s="226"/>
      <c r="P42" s="226"/>
      <c r="Q42" s="227"/>
      <c r="T42" s="10"/>
      <c r="U42" s="10"/>
      <c r="V42" s="10"/>
      <c r="W42" s="10"/>
      <c r="X42" s="10"/>
      <c r="Y42" s="10"/>
      <c r="Z42" s="10"/>
    </row>
    <row r="43" spans="1:26" x14ac:dyDescent="0.2">
      <c r="A43" s="10"/>
      <c r="B43" s="49" t="s">
        <v>35</v>
      </c>
      <c r="C43" s="226" t="s">
        <v>119</v>
      </c>
      <c r="D43" s="226"/>
      <c r="E43" s="226"/>
      <c r="F43" s="226"/>
      <c r="G43" s="226"/>
      <c r="H43" s="226"/>
      <c r="I43" s="226"/>
      <c r="J43" s="226"/>
      <c r="K43" s="226"/>
      <c r="L43" s="226"/>
      <c r="M43" s="226"/>
      <c r="N43" s="226"/>
      <c r="O43" s="226"/>
      <c r="P43" s="226"/>
      <c r="Q43" s="227"/>
      <c r="T43" s="10"/>
      <c r="U43" s="10"/>
      <c r="V43" s="10"/>
      <c r="W43" s="10"/>
      <c r="X43" s="10"/>
      <c r="Y43" s="10"/>
      <c r="Z43" s="10"/>
    </row>
    <row r="44" spans="1:26" x14ac:dyDescent="0.2">
      <c r="A44" s="10"/>
      <c r="B44" s="49" t="s">
        <v>36</v>
      </c>
      <c r="C44" s="226" t="s">
        <v>59</v>
      </c>
      <c r="D44" s="226"/>
      <c r="E44" s="226"/>
      <c r="F44" s="226"/>
      <c r="G44" s="226"/>
      <c r="H44" s="226"/>
      <c r="I44" s="226"/>
      <c r="J44" s="226"/>
      <c r="K44" s="226"/>
      <c r="L44" s="226"/>
      <c r="M44" s="226"/>
      <c r="N44" s="226"/>
      <c r="O44" s="226"/>
      <c r="P44" s="226"/>
      <c r="Q44" s="227"/>
      <c r="T44" s="10"/>
      <c r="U44" s="10"/>
      <c r="V44" s="10"/>
      <c r="W44" s="10"/>
      <c r="X44" s="10"/>
      <c r="Y44" s="10"/>
      <c r="Z44" s="10"/>
    </row>
    <row r="45" spans="1:26" x14ac:dyDescent="0.2">
      <c r="A45" s="10"/>
      <c r="B45" s="49" t="s">
        <v>37</v>
      </c>
      <c r="C45" s="226" t="s">
        <v>57</v>
      </c>
      <c r="D45" s="226"/>
      <c r="E45" s="226"/>
      <c r="F45" s="226"/>
      <c r="G45" s="226"/>
      <c r="H45" s="226"/>
      <c r="I45" s="226"/>
      <c r="J45" s="226"/>
      <c r="K45" s="226"/>
      <c r="L45" s="226"/>
      <c r="M45" s="226"/>
      <c r="N45" s="226"/>
      <c r="O45" s="226"/>
      <c r="P45" s="226"/>
      <c r="Q45" s="227"/>
      <c r="T45" s="10"/>
      <c r="U45" s="10"/>
      <c r="V45" s="10"/>
      <c r="W45" s="10"/>
      <c r="X45" s="10"/>
      <c r="Y45" s="10"/>
      <c r="Z45" s="10"/>
    </row>
    <row r="46" spans="1:26" x14ac:dyDescent="0.2">
      <c r="A46" s="10"/>
      <c r="B46" s="49" t="s">
        <v>38</v>
      </c>
      <c r="C46" s="226" t="s">
        <v>120</v>
      </c>
      <c r="D46" s="226"/>
      <c r="E46" s="226"/>
      <c r="F46" s="226"/>
      <c r="G46" s="226"/>
      <c r="H46" s="226"/>
      <c r="I46" s="226"/>
      <c r="J46" s="226"/>
      <c r="K46" s="226"/>
      <c r="L46" s="226"/>
      <c r="M46" s="226"/>
      <c r="N46" s="226"/>
      <c r="O46" s="226"/>
      <c r="P46" s="226"/>
      <c r="Q46" s="227"/>
      <c r="T46" s="10"/>
      <c r="U46" s="10"/>
      <c r="V46" s="10"/>
      <c r="W46" s="10"/>
      <c r="X46" s="10"/>
      <c r="Y46" s="10"/>
      <c r="Z46" s="10"/>
    </row>
    <row r="47" spans="1:26" ht="13.5" thickBot="1" x14ac:dyDescent="0.25">
      <c r="A47" s="10"/>
      <c r="B47" s="50" t="s">
        <v>47</v>
      </c>
      <c r="C47" s="228" t="s">
        <v>44</v>
      </c>
      <c r="D47" s="228"/>
      <c r="E47" s="228"/>
      <c r="F47" s="228"/>
      <c r="G47" s="228"/>
      <c r="H47" s="228"/>
      <c r="I47" s="228"/>
      <c r="J47" s="228"/>
      <c r="K47" s="228"/>
      <c r="L47" s="228"/>
      <c r="M47" s="228"/>
      <c r="N47" s="228"/>
      <c r="O47" s="228"/>
      <c r="P47" s="228"/>
      <c r="Q47" s="229"/>
      <c r="T47" s="10"/>
      <c r="U47" s="10"/>
      <c r="V47" s="10"/>
      <c r="W47" s="10"/>
      <c r="X47" s="10"/>
      <c r="Y47" s="10"/>
      <c r="Z47" s="10"/>
    </row>
    <row r="48" spans="1:26" x14ac:dyDescent="0.2">
      <c r="A48" s="10"/>
      <c r="B48" s="13"/>
      <c r="C48" s="37"/>
      <c r="D48" s="37"/>
      <c r="E48" s="37"/>
      <c r="F48" s="37"/>
      <c r="G48" s="37"/>
      <c r="H48" s="37"/>
      <c r="I48" s="37"/>
      <c r="J48" s="37"/>
      <c r="K48" s="37"/>
      <c r="L48" s="37"/>
      <c r="M48" s="37"/>
      <c r="N48" s="37"/>
      <c r="O48" s="37"/>
      <c r="P48" s="37"/>
      <c r="Q48" s="37"/>
      <c r="T48" s="10"/>
      <c r="U48" s="10"/>
      <c r="V48" s="10"/>
      <c r="W48" s="10"/>
      <c r="X48" s="10"/>
      <c r="Y48" s="10"/>
      <c r="Z48" s="10"/>
    </row>
    <row r="49" spans="1:26" x14ac:dyDescent="0.2">
      <c r="A49" s="12"/>
      <c r="T49" s="10"/>
      <c r="U49" s="10"/>
      <c r="V49" s="10"/>
      <c r="W49" s="10"/>
      <c r="X49" s="10"/>
      <c r="Y49" s="10"/>
      <c r="Z49" s="10"/>
    </row>
    <row r="68" spans="4:4" x14ac:dyDescent="0.2">
      <c r="D68" s="197">
        <v>0</v>
      </c>
    </row>
  </sheetData>
  <sheetProtection algorithmName="SHA-512" hashValue="1SPM5fd1UCEuN+P/JVT8PUj5wFlHX/ToramTAU0ya+6W2v+EgwhvTAhz4UzIprpiDTAxu6cc5Z9HVxsTzRBcrA==" saltValue="8PXT27D1ByFBFAoy7isI9w==" spinCount="100000" sheet="1" objects="1" scenarios="1"/>
  <mergeCells count="10">
    <mergeCell ref="C45:Q45"/>
    <mergeCell ref="C46:Q46"/>
    <mergeCell ref="C47:Q47"/>
    <mergeCell ref="C43:Q43"/>
    <mergeCell ref="E1:Q2"/>
    <mergeCell ref="B4:Q5"/>
    <mergeCell ref="B7:Q8"/>
    <mergeCell ref="C41:Q41"/>
    <mergeCell ref="C42:Q42"/>
    <mergeCell ref="C44:Q44"/>
  </mergeCells>
  <phoneticPr fontId="0" type="noConversion"/>
  <conditionalFormatting sqref="B20:B21">
    <cfRule type="cellIs" dxfId="2" priority="2" stopIfTrue="1" operator="equal">
      <formula>0</formula>
    </cfRule>
  </conditionalFormatting>
  <hyperlinks>
    <hyperlink ref="B4:Q5" r:id="rId1" display="mailto:sales@solray.co.uk?subject=Enquiry" xr:uid="{00000000-0004-0000-0100-000000000000}"/>
  </hyperlinks>
  <pageMargins left="0.62992125984251968" right="0.19685039370078741" top="0.59055118110236227" bottom="0.39370078740157483" header="0.15748031496062992" footer="0.15748031496062992"/>
  <pageSetup paperSize="9" scale="77" orientation="landscape" r:id="rId2"/>
  <headerFooter alignWithMargins="0"/>
  <ignoredErrors>
    <ignoredError sqref="E12 E13:H13 F12:H12" unlocked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9218" r:id="rId5" name="Drop Down 2">
              <controlPr locked="0" defaultSize="0" print="0" autoLine="0" autoPict="0">
                <anchor moveWithCells="1">
                  <from>
                    <xdr:col>4</xdr:col>
                    <xdr:colOff>9525</xdr:colOff>
                    <xdr:row>11</xdr:row>
                    <xdr:rowOff>0</xdr:rowOff>
                  </from>
                  <to>
                    <xdr:col>7</xdr:col>
                    <xdr:colOff>457200</xdr:colOff>
                    <xdr:row>12</xdr:row>
                    <xdr:rowOff>0</xdr:rowOff>
                  </to>
                </anchor>
              </controlPr>
            </control>
          </mc:Choice>
        </mc:AlternateContent>
        <mc:AlternateContent xmlns:mc="http://schemas.openxmlformats.org/markup-compatibility/2006">
          <mc:Choice Requires="x14">
            <control shapeId="9307" r:id="rId6" name="Drop Down 91">
              <controlPr locked="0" defaultSize="0" print="0" autoLine="0" autoPict="0">
                <anchor moveWithCells="1">
                  <from>
                    <xdr:col>4</xdr:col>
                    <xdr:colOff>9525</xdr:colOff>
                    <xdr:row>12</xdr:row>
                    <xdr:rowOff>0</xdr:rowOff>
                  </from>
                  <to>
                    <xdr:col>7</xdr:col>
                    <xdr:colOff>457200</xdr:colOff>
                    <xdr:row>13</xdr:row>
                    <xdr:rowOff>0</xdr:rowOff>
                  </to>
                </anchor>
              </controlPr>
            </control>
          </mc:Choice>
        </mc:AlternateContent>
        <mc:AlternateContent xmlns:mc="http://schemas.openxmlformats.org/markup-compatibility/2006">
          <mc:Choice Requires="x14">
            <control shapeId="10026" r:id="rId7" name="List Box 810">
              <controlPr defaultSize="0" print="0" autoLine="0" autoPict="0">
                <anchor moveWithCells="1">
                  <from>
                    <xdr:col>2</xdr:col>
                    <xdr:colOff>0</xdr:colOff>
                    <xdr:row>19</xdr:row>
                    <xdr:rowOff>152400</xdr:rowOff>
                  </from>
                  <to>
                    <xdr:col>8</xdr:col>
                    <xdr:colOff>561975</xdr:colOff>
                    <xdr:row>21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Q160"/>
  <sheetViews>
    <sheetView zoomScale="80" zoomScaleNormal="80" workbookViewId="0">
      <pane xSplit="14" ySplit="11" topLeftCell="O12" activePane="bottomRight" state="frozenSplit"/>
      <selection pane="topRight" activeCell="D1" sqref="D1"/>
      <selection pane="bottomLeft" activeCell="A12" sqref="A12"/>
      <selection pane="bottomRight" activeCell="Q12" sqref="Q12"/>
    </sheetView>
  </sheetViews>
  <sheetFormatPr defaultRowHeight="12.75" x14ac:dyDescent="0.2"/>
  <cols>
    <col min="1" max="1" width="1" style="1" customWidth="1"/>
    <col min="2" max="2" width="5.42578125" style="1" customWidth="1"/>
    <col min="3" max="3" width="7.42578125" style="1" customWidth="1"/>
    <col min="4" max="4" width="27.28515625" style="1" customWidth="1"/>
    <col min="5" max="5" width="16" style="1" bestFit="1" customWidth="1"/>
    <col min="6" max="6" width="12" style="1" customWidth="1"/>
    <col min="7" max="8" width="10.42578125" style="1" customWidth="1"/>
    <col min="9" max="9" width="10.7109375" style="1" customWidth="1"/>
    <col min="10" max="11" width="6.42578125" style="129" customWidth="1"/>
    <col min="12" max="12" width="11.5703125" style="1" customWidth="1"/>
    <col min="13" max="13" width="10" style="1" customWidth="1"/>
    <col min="14" max="14" width="13.140625" style="1" customWidth="1"/>
    <col min="15" max="15" width="10.28515625" style="1" customWidth="1"/>
    <col min="16" max="16" width="12.42578125" style="1" customWidth="1"/>
    <col min="17" max="17" width="15.7109375" style="1" customWidth="1"/>
    <col min="18" max="18" width="15.28515625" style="1" customWidth="1"/>
    <col min="19" max="19" width="12.28515625" style="1" customWidth="1"/>
    <col min="20" max="20" width="8.5703125" style="1" customWidth="1"/>
    <col min="21" max="21" width="10" style="1" customWidth="1"/>
    <col min="22" max="22" width="11.140625" style="1" customWidth="1"/>
    <col min="23" max="23" width="35.42578125" style="4" customWidth="1"/>
    <col min="24" max="43" width="9.140625" style="4"/>
    <col min="44" max="16384" width="9.140625" style="1"/>
  </cols>
  <sheetData>
    <row r="1" spans="2:43" s="4" customFormat="1" ht="34.5" customHeight="1" x14ac:dyDescent="0.25">
      <c r="C1" s="146"/>
      <c r="D1" s="146"/>
      <c r="E1" s="222" t="s">
        <v>51</v>
      </c>
      <c r="F1" s="222"/>
      <c r="G1" s="222"/>
      <c r="H1" s="222"/>
      <c r="I1" s="222"/>
      <c r="J1" s="222"/>
      <c r="K1" s="222"/>
      <c r="L1" s="222"/>
      <c r="M1" s="222"/>
      <c r="N1" s="222"/>
      <c r="O1" s="222"/>
      <c r="P1" s="222"/>
      <c r="Q1" s="222"/>
      <c r="R1" s="222"/>
      <c r="S1" s="222"/>
      <c r="T1" s="222"/>
      <c r="U1" s="222"/>
      <c r="V1" s="222"/>
      <c r="W1" s="222"/>
    </row>
    <row r="2" spans="2:43" s="4" customFormat="1" ht="12" customHeight="1" x14ac:dyDescent="0.2">
      <c r="D2" s="5"/>
      <c r="E2" s="5"/>
      <c r="F2" s="5"/>
      <c r="G2" s="5"/>
      <c r="H2" s="5"/>
      <c r="I2" s="5"/>
      <c r="J2" s="122"/>
      <c r="K2" s="122"/>
      <c r="L2" s="5"/>
      <c r="M2" s="5"/>
      <c r="N2" s="5"/>
      <c r="O2" s="5"/>
    </row>
    <row r="3" spans="2:43" s="4" customFormat="1" ht="12.75" customHeight="1" x14ac:dyDescent="0.2">
      <c r="C3" s="223" t="s">
        <v>42</v>
      </c>
      <c r="D3" s="223"/>
      <c r="E3" s="223"/>
      <c r="F3" s="223"/>
      <c r="G3" s="223"/>
      <c r="H3" s="223"/>
      <c r="I3" s="223"/>
      <c r="J3" s="223"/>
      <c r="K3" s="223"/>
      <c r="L3" s="223"/>
      <c r="M3" s="223"/>
      <c r="N3" s="223"/>
      <c r="O3" s="223"/>
      <c r="P3" s="223"/>
      <c r="Q3" s="223"/>
      <c r="R3" s="223"/>
      <c r="S3" s="223"/>
      <c r="T3" s="223"/>
      <c r="U3" s="223"/>
      <c r="V3" s="223"/>
      <c r="W3" s="223"/>
    </row>
    <row r="4" spans="2:43" s="4" customFormat="1" x14ac:dyDescent="0.2">
      <c r="C4" s="223"/>
      <c r="D4" s="223"/>
      <c r="E4" s="223"/>
      <c r="F4" s="223"/>
      <c r="G4" s="223"/>
      <c r="H4" s="223"/>
      <c r="I4" s="223"/>
      <c r="J4" s="223"/>
      <c r="K4" s="223"/>
      <c r="L4" s="223"/>
      <c r="M4" s="223"/>
      <c r="N4" s="223"/>
      <c r="O4" s="223"/>
      <c r="P4" s="223"/>
      <c r="Q4" s="223"/>
      <c r="R4" s="223"/>
      <c r="S4" s="223"/>
      <c r="T4" s="223"/>
      <c r="U4" s="223"/>
      <c r="V4" s="223"/>
      <c r="W4" s="223"/>
    </row>
    <row r="5" spans="2:43" s="4" customFormat="1" ht="12" customHeight="1" x14ac:dyDescent="0.2">
      <c r="D5" s="106"/>
      <c r="E5" s="106"/>
      <c r="F5" s="106"/>
      <c r="G5" s="106"/>
      <c r="H5" s="106"/>
      <c r="I5" s="106"/>
      <c r="J5" s="125"/>
      <c r="K5" s="125"/>
      <c r="L5" s="106"/>
      <c r="M5" s="106"/>
      <c r="N5" s="106"/>
      <c r="O5" s="106"/>
      <c r="P5" s="106"/>
    </row>
    <row r="6" spans="2:43" s="4" customFormat="1" ht="26.25" customHeight="1" x14ac:dyDescent="0.2">
      <c r="C6" s="230" t="s">
        <v>121</v>
      </c>
      <c r="D6" s="230"/>
      <c r="E6" s="230"/>
      <c r="F6" s="230"/>
      <c r="G6" s="230"/>
      <c r="H6" s="230"/>
      <c r="I6" s="230"/>
      <c r="J6" s="230"/>
      <c r="K6" s="230"/>
      <c r="L6" s="230"/>
      <c r="M6" s="230"/>
      <c r="N6" s="230"/>
      <c r="O6" s="230"/>
      <c r="P6" s="230"/>
      <c r="Q6" s="230"/>
      <c r="R6" s="230"/>
      <c r="S6" s="230"/>
      <c r="T6" s="230"/>
      <c r="U6" s="230"/>
      <c r="V6" s="230"/>
      <c r="W6" s="230"/>
    </row>
    <row r="7" spans="2:43" s="4" customFormat="1" x14ac:dyDescent="0.2">
      <c r="D7" s="147"/>
      <c r="E7" s="147"/>
      <c r="F7" s="147"/>
      <c r="G7" s="147"/>
      <c r="H7" s="147"/>
      <c r="I7" s="147"/>
      <c r="J7" s="147"/>
      <c r="K7" s="147"/>
      <c r="L7" s="147"/>
      <c r="M7" s="147"/>
      <c r="N7" s="147"/>
    </row>
    <row r="8" spans="2:43" s="8" customFormat="1" ht="15" x14ac:dyDescent="0.2">
      <c r="C8" s="4"/>
      <c r="D8" s="9" t="s">
        <v>48</v>
      </c>
      <c r="E8" s="173" t="str">
        <f>IF(ISBLANK('Panel Emissions'!C10), "", 'Panel Emissions'!C10)</f>
        <v/>
      </c>
      <c r="F8" s="174"/>
      <c r="G8" s="174"/>
      <c r="H8" s="174"/>
      <c r="I8" s="174"/>
      <c r="J8" s="174"/>
      <c r="K8" s="174"/>
      <c r="L8" s="174"/>
      <c r="M8" s="107"/>
      <c r="N8" s="107" t="s">
        <v>111</v>
      </c>
      <c r="O8" s="234" t="str">
        <f>IF(ISBLANK('Panel Emissions'!N10), "", 'Panel Emissions'!N10)</f>
        <v/>
      </c>
      <c r="P8" s="234"/>
      <c r="Q8" s="234"/>
      <c r="R8" s="7" t="s">
        <v>31</v>
      </c>
      <c r="S8" s="203" t="str">
        <f>IF(ISBLANK('Panel Emissions'!P10), "", 'Panel Emissions'!P10)</f>
        <v/>
      </c>
      <c r="T8" s="176"/>
      <c r="U8" s="175"/>
      <c r="V8" s="175"/>
      <c r="W8" s="6"/>
      <c r="X8" s="6"/>
      <c r="Y8" s="6"/>
      <c r="Z8" s="6"/>
      <c r="AA8" s="6"/>
      <c r="AB8" s="6"/>
      <c r="AC8" s="6"/>
      <c r="AD8" s="6"/>
      <c r="AE8" s="6"/>
      <c r="AF8" s="6"/>
      <c r="AG8" s="6"/>
      <c r="AH8" s="6"/>
      <c r="AI8" s="6"/>
      <c r="AJ8" s="6"/>
      <c r="AK8" s="6"/>
      <c r="AL8" s="6"/>
      <c r="AM8" s="6"/>
      <c r="AN8" s="6"/>
      <c r="AO8" s="6"/>
      <c r="AP8" s="6"/>
      <c r="AQ8" s="6"/>
    </row>
    <row r="9" spans="2:43" s="105" customFormat="1" ht="15.75" thickBot="1" x14ac:dyDescent="0.25">
      <c r="C9" s="104"/>
      <c r="D9" s="170" t="s">
        <v>115</v>
      </c>
      <c r="E9" s="184"/>
      <c r="F9" s="120" t="s">
        <v>66</v>
      </c>
      <c r="G9" s="5"/>
      <c r="H9" s="119"/>
      <c r="I9" s="119"/>
      <c r="J9" s="119"/>
      <c r="K9" s="119"/>
      <c r="L9" s="119"/>
      <c r="M9" s="121"/>
      <c r="N9" s="121"/>
      <c r="O9" s="218"/>
      <c r="P9" s="123"/>
      <c r="Q9" s="217"/>
      <c r="R9" s="124"/>
      <c r="S9" s="124"/>
      <c r="T9" s="124"/>
      <c r="U9" s="124"/>
      <c r="V9" s="124"/>
      <c r="W9" s="5"/>
    </row>
    <row r="10" spans="2:43" s="105" customFormat="1" ht="15.75" thickBot="1" x14ac:dyDescent="0.25">
      <c r="C10" s="104"/>
      <c r="D10" s="119"/>
      <c r="E10" s="119"/>
      <c r="F10" s="120"/>
      <c r="G10" s="5"/>
      <c r="H10" s="119"/>
      <c r="I10" s="119"/>
      <c r="J10" s="119"/>
      <c r="K10" s="119"/>
      <c r="L10" s="119"/>
      <c r="M10" s="121"/>
      <c r="N10" s="121"/>
      <c r="O10" s="149" t="s">
        <v>67</v>
      </c>
      <c r="P10" s="150"/>
      <c r="Q10" s="148"/>
      <c r="R10" s="231" t="s">
        <v>68</v>
      </c>
      <c r="S10" s="232"/>
      <c r="T10" s="233"/>
      <c r="U10" s="124"/>
      <c r="V10" s="124"/>
      <c r="W10" s="5"/>
    </row>
    <row r="11" spans="2:43" ht="50.25" customHeight="1" x14ac:dyDescent="0.2">
      <c r="B11" s="131" t="s">
        <v>127</v>
      </c>
      <c r="C11" s="131" t="s">
        <v>97</v>
      </c>
      <c r="D11" s="132" t="s">
        <v>98</v>
      </c>
      <c r="E11" s="132" t="s">
        <v>101</v>
      </c>
      <c r="F11" s="133" t="s">
        <v>99</v>
      </c>
      <c r="G11" s="132" t="s">
        <v>63</v>
      </c>
      <c r="H11" s="132" t="s">
        <v>64</v>
      </c>
      <c r="I11" s="134" t="s">
        <v>102</v>
      </c>
      <c r="J11" s="135" t="s">
        <v>126</v>
      </c>
      <c r="K11" s="136"/>
      <c r="L11" s="132" t="s">
        <v>103</v>
      </c>
      <c r="M11" s="133" t="s">
        <v>105</v>
      </c>
      <c r="N11" s="132" t="s">
        <v>104</v>
      </c>
      <c r="O11" s="137" t="s">
        <v>155</v>
      </c>
      <c r="P11" s="138" t="s">
        <v>156</v>
      </c>
      <c r="Q11" s="139" t="s">
        <v>157</v>
      </c>
      <c r="R11" s="140" t="s">
        <v>71</v>
      </c>
      <c r="S11" s="140" t="s">
        <v>141</v>
      </c>
      <c r="T11" s="140" t="s">
        <v>70</v>
      </c>
      <c r="U11" s="144" t="s">
        <v>107</v>
      </c>
      <c r="V11" s="144" t="s">
        <v>106</v>
      </c>
      <c r="W11" s="144" t="s">
        <v>65</v>
      </c>
    </row>
    <row r="12" spans="2:43" s="130" customFormat="1" x14ac:dyDescent="0.2">
      <c r="B12" s="204">
        <v>1</v>
      </c>
      <c r="C12" s="206"/>
      <c r="D12" s="206"/>
      <c r="E12" s="206"/>
      <c r="F12" s="206"/>
      <c r="G12" s="207"/>
      <c r="H12" s="207"/>
      <c r="I12" s="116" t="str">
        <f>IFERROR(F12/(G12/1000)/(H12/1000),"")</f>
        <v/>
      </c>
      <c r="J12" s="127">
        <f t="shared" ref="J12:J28" si="0">Mounting</f>
        <v>2.7</v>
      </c>
      <c r="K12" s="127">
        <f t="shared" ref="K12:K28" si="1">Angle</f>
        <v>90</v>
      </c>
      <c r="L12" s="127" t="str">
        <f ca="1">IFERROR(IF(OR(K12&lt;&gt;Angle,FLOOR(J12,4)&lt;&gt;FLOOR(Mounting,4)),"Over-write",IFERROR(VLOOKUP($E$9,'Panel Emissions'!$B$25:$I$38,MATCH('Panel Sizer Tool'!E12,'Panel Emissions'!$B$25:$I$25,0),TRUE),"")/IF(EmissionsBasis=OFFSET(EmissionsByArea,0,-1),1,IF(EmissionsBasis=OFFSET(EmissionsByLength,0,-1),Width/1000,"?"))),"")</f>
        <v/>
      </c>
      <c r="M12" s="2" t="str">
        <f ca="1">IF(ISNUMBER(L12)=FALSE,"",F12/L12)</f>
        <v/>
      </c>
      <c r="N12" s="142" t="str">
        <f t="shared" ref="N12:N28" ca="1" si="2">IFERROR(IF(K12=0,3000,(600+(J12-2.7)/SIN(K12/180*PI())*300)*500/ABS(L12)*21/IF(E12=0,1,E12)),"")</f>
        <v/>
      </c>
      <c r="O12" s="118">
        <f t="shared" ref="O12:O28" si="3">Width</f>
        <v>600</v>
      </c>
      <c r="P12" s="219" t="str">
        <f t="shared" ref="P12:P17" ca="1" si="4">IFERROR(ROUNDUP(M12*10^6/O12/MAX(G12:H12),0),"")</f>
        <v/>
      </c>
      <c r="Q12" s="142" t="str">
        <f ca="1">IF(OR(M12="",P12=0,P12=""),"",CEILING(M12*10^6/P12/O12,600))</f>
        <v/>
      </c>
      <c r="R12" s="142" t="str">
        <f t="shared" ref="R12:R28" ca="1" si="5">IFERROR(IF(M12*10^6/(G12)&lt;N12,"By window wall",IF(M12*10^6/(H12)&lt;N12,"By internal wall",IF(IFERROR((G12+H12-SQRT((G12+H12)^2-8*(M12*10^6)*1))/(4*1)&lt;N12,FALSE),"L- shape",IF(IFERROR((G12*2+H12-SQRT((G12*2+H12)^2-8*(M12*10^6)*2))/(4*2)&lt;N12,FALSE),"U-shaped",IF(IFERROR((G12+H12*2-SQRT((G12+H12*2)^2-8*(M12*10^6)*2))/(4*2)&lt;N12,FALSE),"ﬤ-shape",IF(IFERROR((G12*2+H12*2-SQRT((G12*2+H12*2)^2-8*(M12*10^6)*2))/(4*2),FALSE),"4-sided","Not applicable")))))),"")</f>
        <v/>
      </c>
      <c r="S12" s="142" t="str">
        <f t="shared" ref="S12:S28" ca="1" si="6">IFERROR(IF(R12="By window wall",G12,IF(R12="By internal wall",H12,IF(R12="L- shape",G12+H12,IF(R12="U-shaped",G12*2+H12,IF(R12="ﬤ-shape",G12+H12*2,IF(R12="4-sided",G12*2+H12*2,"")))))),"")</f>
        <v/>
      </c>
      <c r="T12" s="168">
        <f t="shared" ref="T12:T28" ca="1" si="7">IFERROR(CEILING(IF(R12="By window wall",M12*10^6/(G12),IF(R12="By internal wall",M12*10^6/(H12),IF(R12="L- shape",(G12+H12-SQRT((G12+H12)^2-8*(M12*10^6)*1))/(4*1),IF(R12="U-shaped",(G12*2+H12-SQRT((G12*2+H12)^2-8*(M12*10^6)*2))/(4*2),IF(R12="ﬤ-shape",(G12+H12*2-SQRT((G12+H12*2)^2-8*(M12*10^6)*2))/(4*2),IF(R12="4-sided",(G12*2+H12*2-SQRT((G12*2+H12*2)^2-8*(M12*10^6)*2))/(4*2),0)))))),50),"Refer to office")</f>
        <v>0</v>
      </c>
      <c r="U12" s="142" t="s">
        <v>69</v>
      </c>
      <c r="V12" s="142" t="s">
        <v>69</v>
      </c>
      <c r="W12" s="210" t="str">
        <f ca="1">IF(AND(O12&gt;N12,K12=90),O12 &amp; " is wider than rec max "&amp;TEXT(N12,"0"),"")</f>
        <v/>
      </c>
      <c r="X12" s="162"/>
      <c r="Y12" s="162"/>
      <c r="Z12" s="162"/>
      <c r="AA12" s="162"/>
      <c r="AB12" s="162"/>
      <c r="AC12" s="162"/>
      <c r="AD12" s="162"/>
      <c r="AE12" s="162"/>
      <c r="AF12" s="162"/>
      <c r="AG12" s="162"/>
      <c r="AH12" s="162"/>
      <c r="AI12" s="162"/>
      <c r="AJ12" s="162"/>
      <c r="AK12" s="162"/>
      <c r="AL12" s="162"/>
      <c r="AM12" s="162"/>
      <c r="AN12" s="162"/>
      <c r="AO12" s="162"/>
      <c r="AP12" s="162"/>
      <c r="AQ12" s="162"/>
    </row>
    <row r="13" spans="2:43" s="130" customFormat="1" x14ac:dyDescent="0.2">
      <c r="B13" s="204">
        <v>2</v>
      </c>
      <c r="C13" s="206"/>
      <c r="D13" s="206"/>
      <c r="E13" s="206"/>
      <c r="F13" s="206"/>
      <c r="G13" s="207"/>
      <c r="H13" s="207"/>
      <c r="I13" s="116" t="str">
        <f t="shared" ref="I13:I17" si="8">IFERROR(F13/(G13/1000)/(H13/1000),"")</f>
        <v/>
      </c>
      <c r="J13" s="127">
        <f t="shared" si="0"/>
        <v>2.7</v>
      </c>
      <c r="K13" s="127">
        <f t="shared" si="1"/>
        <v>90</v>
      </c>
      <c r="L13" s="127" t="str">
        <f ca="1">IFERROR(IF(OR(K13&lt;&gt;Angle,FLOOR(J13,4)&lt;&gt;FLOOR(Mounting,4)),"Over-write",IFERROR(VLOOKUP($E$9,'Panel Emissions'!$B$25:$I$38,MATCH('Panel Sizer Tool'!E13,'Panel Emissions'!$B$25:$I$25,0),TRUE),"")/IF(EmissionsBasis=OFFSET(EmissionsByArea,0,-1),1,IF(EmissionsBasis=OFFSET(EmissionsByLength,0,-1),Width/1000,"?"))),"")</f>
        <v/>
      </c>
      <c r="M13" s="2" t="str">
        <f t="shared" ref="M13:M17" ca="1" si="9">IF(ISNUMBER(L13)=FALSE,"",F13/L13)</f>
        <v/>
      </c>
      <c r="N13" s="142" t="str">
        <f t="shared" ca="1" si="2"/>
        <v/>
      </c>
      <c r="O13" s="118">
        <f t="shared" si="3"/>
        <v>600</v>
      </c>
      <c r="P13" s="219" t="str">
        <f t="shared" ca="1" si="4"/>
        <v/>
      </c>
      <c r="Q13" s="142" t="str">
        <f t="shared" ref="Q13:Q17" ca="1" si="10">IF(OR(M13="",P13=0,P13=""),"",CEILING(M13*10^6/P13/O13,600))</f>
        <v/>
      </c>
      <c r="R13" s="142" t="str">
        <f t="shared" ca="1" si="5"/>
        <v/>
      </c>
      <c r="S13" s="142" t="str">
        <f t="shared" ca="1" si="6"/>
        <v/>
      </c>
      <c r="T13" s="168">
        <f t="shared" ca="1" si="7"/>
        <v>0</v>
      </c>
      <c r="U13" s="142" t="s">
        <v>69</v>
      </c>
      <c r="V13" s="142" t="s">
        <v>69</v>
      </c>
      <c r="W13" s="210"/>
      <c r="X13" s="162"/>
      <c r="Y13" s="162"/>
      <c r="Z13" s="162"/>
      <c r="AA13" s="162"/>
      <c r="AB13" s="162"/>
      <c r="AC13" s="162"/>
      <c r="AD13" s="162"/>
      <c r="AE13" s="162"/>
      <c r="AF13" s="162"/>
      <c r="AG13" s="162"/>
      <c r="AH13" s="162"/>
      <c r="AI13" s="162"/>
      <c r="AJ13" s="162"/>
      <c r="AK13" s="162"/>
      <c r="AL13" s="162"/>
      <c r="AM13" s="162"/>
      <c r="AN13" s="162"/>
      <c r="AO13" s="162"/>
      <c r="AP13" s="162"/>
      <c r="AQ13" s="162"/>
    </row>
    <row r="14" spans="2:43" s="130" customFormat="1" x14ac:dyDescent="0.2">
      <c r="B14" s="204">
        <v>3</v>
      </c>
      <c r="C14" s="206"/>
      <c r="D14" s="206"/>
      <c r="E14" s="206"/>
      <c r="F14" s="206"/>
      <c r="G14" s="207"/>
      <c r="H14" s="207"/>
      <c r="I14" s="116" t="str">
        <f t="shared" si="8"/>
        <v/>
      </c>
      <c r="J14" s="127">
        <f t="shared" si="0"/>
        <v>2.7</v>
      </c>
      <c r="K14" s="127">
        <f t="shared" si="1"/>
        <v>90</v>
      </c>
      <c r="L14" s="127" t="str">
        <f ca="1">IFERROR(IF(OR(K14&lt;&gt;Angle,FLOOR(J14,4)&lt;&gt;FLOOR(Mounting,4)),"Over-write",IFERROR(VLOOKUP($E$9,'Panel Emissions'!$B$25:$I$38,MATCH('Panel Sizer Tool'!E14,'Panel Emissions'!$B$25:$I$25,0),TRUE),"")/IF(EmissionsBasis=OFFSET(EmissionsByArea,0,-1),1,IF(EmissionsBasis=OFFSET(EmissionsByLength,0,-1),Width/1000,"?"))),"")</f>
        <v/>
      </c>
      <c r="M14" s="2" t="str">
        <f t="shared" ca="1" si="9"/>
        <v/>
      </c>
      <c r="N14" s="142" t="str">
        <f t="shared" ca="1" si="2"/>
        <v/>
      </c>
      <c r="O14" s="118">
        <f t="shared" si="3"/>
        <v>600</v>
      </c>
      <c r="P14" s="219" t="str">
        <f ca="1">IFERROR(ROUNDUP(M14*10^6/O14/MAX(G14:H14),0),"")</f>
        <v/>
      </c>
      <c r="Q14" s="142" t="str">
        <f t="shared" ca="1" si="10"/>
        <v/>
      </c>
      <c r="R14" s="142" t="str">
        <f ca="1">IFERROR(IF(M14*10^6/(G14)&lt;N14,"By window wall",IF(M14*10^6/(H14)&lt;N14,"By internal wall",IF(IFERROR((G14+H14-SQRT((G14+H14)^2-8*(M14*10^6)*1))/(4*1)&lt;N14,FALSE),"L- shape",IF(IFERROR((G14*2+H14-SQRT((G14*2+H14)^2-8*(M14*10^6)*2))/(4*2)&lt;N14,FALSE),"U-shaped",IF(IFERROR((G14+H14*2-SQRT((G14+H14*2)^2-8*(M14*10^6)*2))/(4*2)&lt;N14,FALSE),"ﬤ-shape",IF(IFERROR((G14*2+H14*2-SQRT((G14*2+H14*2)^2-8*(M14*10^6)*2))/(4*2),FALSE),"4-sided","Not applicable")))))),"")</f>
        <v/>
      </c>
      <c r="S14" s="142" t="str">
        <f t="shared" ca="1" si="6"/>
        <v/>
      </c>
      <c r="T14" s="168">
        <f ca="1">IFERROR(CEILING(IF(R14="By window wall",M14*10^6/(G14),IF(R14="By internal wall",M14*10^6/(H14),IF(R14="L- shape",(G14+H14-SQRT((G14+H14)^2-8*(M14*10^6)*1))/(4*1),IF(R14="U-shaped",(G14*2+H14-SQRT((G14*2+H14)^2-8*(M14*10^6)*2))/(4*2),IF(R14="ﬤ-shape",(G14+H14*2-SQRT((G14+H14*2)^2-8*(M14*10^6)*2))/(4*2),IF(R14="4-sided",(G14*2+H14*2-SQRT((G14*2+H14*2)^2-8*(M14*10^6)*2))/(4*2),0)))))),50),"Refer to office")</f>
        <v>0</v>
      </c>
      <c r="U14" s="142" t="s">
        <v>69</v>
      </c>
      <c r="V14" s="142" t="s">
        <v>69</v>
      </c>
      <c r="W14" s="210"/>
      <c r="X14" s="162"/>
      <c r="Y14" s="162"/>
      <c r="Z14" s="162"/>
      <c r="AA14" s="162"/>
      <c r="AB14" s="162"/>
      <c r="AC14" s="162"/>
      <c r="AD14" s="162"/>
      <c r="AE14" s="162"/>
      <c r="AF14" s="162"/>
      <c r="AG14" s="162"/>
      <c r="AH14" s="162"/>
      <c r="AI14" s="162"/>
      <c r="AJ14" s="162"/>
      <c r="AK14" s="162"/>
      <c r="AL14" s="162"/>
      <c r="AM14" s="162"/>
      <c r="AN14" s="162"/>
      <c r="AO14" s="162"/>
      <c r="AP14" s="162"/>
      <c r="AQ14" s="162"/>
    </row>
    <row r="15" spans="2:43" s="130" customFormat="1" x14ac:dyDescent="0.2">
      <c r="B15" s="204">
        <v>4</v>
      </c>
      <c r="C15" s="206"/>
      <c r="D15" s="206"/>
      <c r="E15" s="206"/>
      <c r="F15" s="206"/>
      <c r="G15" s="207"/>
      <c r="H15" s="207"/>
      <c r="I15" s="116" t="str">
        <f t="shared" si="8"/>
        <v/>
      </c>
      <c r="J15" s="127">
        <f t="shared" si="0"/>
        <v>2.7</v>
      </c>
      <c r="K15" s="127">
        <f t="shared" si="1"/>
        <v>90</v>
      </c>
      <c r="L15" s="127" t="str">
        <f ca="1">IFERROR(IF(OR(K15&lt;&gt;Angle,FLOOR(J15,4)&lt;&gt;FLOOR(Mounting,4)),"Over-write",IFERROR(VLOOKUP($E$9,'Panel Emissions'!$B$25:$I$38,MATCH('Panel Sizer Tool'!E15,'Panel Emissions'!$B$25:$I$25,0),TRUE),"")/IF(EmissionsBasis=OFFSET(EmissionsByArea,0,-1),1,IF(EmissionsBasis=OFFSET(EmissionsByLength,0,-1),Width/1000,"?"))),"")</f>
        <v/>
      </c>
      <c r="M15" s="2" t="str">
        <f t="shared" ca="1" si="9"/>
        <v/>
      </c>
      <c r="N15" s="142" t="str">
        <f t="shared" ca="1" si="2"/>
        <v/>
      </c>
      <c r="O15" s="118">
        <f t="shared" si="3"/>
        <v>600</v>
      </c>
      <c r="P15" s="219" t="str">
        <f t="shared" ca="1" si="4"/>
        <v/>
      </c>
      <c r="Q15" s="142" t="str">
        <f t="shared" ca="1" si="10"/>
        <v/>
      </c>
      <c r="R15" s="142" t="str">
        <f t="shared" ca="1" si="5"/>
        <v/>
      </c>
      <c r="S15" s="142" t="str">
        <f t="shared" ca="1" si="6"/>
        <v/>
      </c>
      <c r="T15" s="168">
        <f t="shared" ca="1" si="7"/>
        <v>0</v>
      </c>
      <c r="U15" s="142" t="s">
        <v>69</v>
      </c>
      <c r="V15" s="142" t="s">
        <v>69</v>
      </c>
      <c r="W15" s="210"/>
      <c r="X15" s="162"/>
      <c r="Y15" s="162"/>
      <c r="Z15" s="162"/>
      <c r="AA15" s="162"/>
      <c r="AB15" s="162"/>
      <c r="AC15" s="162"/>
      <c r="AD15" s="162"/>
      <c r="AE15" s="162"/>
      <c r="AF15" s="162"/>
      <c r="AG15" s="162"/>
      <c r="AH15" s="162"/>
      <c r="AI15" s="162"/>
      <c r="AJ15" s="162"/>
      <c r="AK15" s="162"/>
      <c r="AL15" s="162"/>
      <c r="AM15" s="162"/>
      <c r="AN15" s="162"/>
      <c r="AO15" s="162"/>
      <c r="AP15" s="162"/>
      <c r="AQ15" s="162"/>
    </row>
    <row r="16" spans="2:43" s="130" customFormat="1" x14ac:dyDescent="0.2">
      <c r="B16" s="204">
        <v>5</v>
      </c>
      <c r="C16" s="206"/>
      <c r="D16" s="206"/>
      <c r="E16" s="206"/>
      <c r="F16" s="206"/>
      <c r="G16" s="207"/>
      <c r="H16" s="207"/>
      <c r="I16" s="116" t="str">
        <f t="shared" si="8"/>
        <v/>
      </c>
      <c r="J16" s="127">
        <f t="shared" si="0"/>
        <v>2.7</v>
      </c>
      <c r="K16" s="127">
        <f t="shared" si="1"/>
        <v>90</v>
      </c>
      <c r="L16" s="127" t="str">
        <f ca="1">IFERROR(IF(OR(K16&lt;&gt;Angle,FLOOR(J16,4)&lt;&gt;FLOOR(Mounting,4)),"Over-write",IFERROR(VLOOKUP($E$9,'Panel Emissions'!$B$25:$I$38,MATCH('Panel Sizer Tool'!E16,'Panel Emissions'!$B$25:$I$25,0),TRUE),"")/IF(EmissionsBasis=OFFSET(EmissionsByArea,0,-1),1,IF(EmissionsBasis=OFFSET(EmissionsByLength,0,-1),Width/1000,"?"))),"")</f>
        <v/>
      </c>
      <c r="M16" s="2" t="str">
        <f t="shared" ca="1" si="9"/>
        <v/>
      </c>
      <c r="N16" s="142" t="str">
        <f t="shared" ca="1" si="2"/>
        <v/>
      </c>
      <c r="O16" s="118">
        <f t="shared" si="3"/>
        <v>600</v>
      </c>
      <c r="P16" s="219" t="str">
        <f t="shared" ca="1" si="4"/>
        <v/>
      </c>
      <c r="Q16" s="142" t="str">
        <f t="shared" ca="1" si="10"/>
        <v/>
      </c>
      <c r="R16" s="142" t="str">
        <f t="shared" ca="1" si="5"/>
        <v/>
      </c>
      <c r="S16" s="142" t="str">
        <f t="shared" ca="1" si="6"/>
        <v/>
      </c>
      <c r="T16" s="168">
        <f t="shared" ca="1" si="7"/>
        <v>0</v>
      </c>
      <c r="U16" s="142" t="s">
        <v>69</v>
      </c>
      <c r="V16" s="142" t="s">
        <v>69</v>
      </c>
      <c r="W16" s="210"/>
      <c r="X16" s="162"/>
      <c r="Y16" s="162"/>
      <c r="Z16" s="162"/>
      <c r="AA16" s="162"/>
      <c r="AB16" s="162"/>
      <c r="AC16" s="162"/>
      <c r="AD16" s="162"/>
      <c r="AE16" s="162"/>
      <c r="AF16" s="162"/>
      <c r="AG16" s="162"/>
      <c r="AH16" s="162"/>
      <c r="AI16" s="162"/>
      <c r="AJ16" s="162"/>
      <c r="AK16" s="162"/>
      <c r="AL16" s="162"/>
      <c r="AM16" s="162"/>
      <c r="AN16" s="162"/>
      <c r="AO16" s="162"/>
      <c r="AP16" s="162"/>
      <c r="AQ16" s="162"/>
    </row>
    <row r="17" spans="2:43" s="130" customFormat="1" x14ac:dyDescent="0.2">
      <c r="B17" s="204">
        <v>6</v>
      </c>
      <c r="C17" s="206"/>
      <c r="D17" s="206"/>
      <c r="E17" s="206"/>
      <c r="F17" s="206"/>
      <c r="G17" s="207"/>
      <c r="H17" s="207"/>
      <c r="I17" s="116" t="str">
        <f t="shared" si="8"/>
        <v/>
      </c>
      <c r="J17" s="127">
        <f t="shared" si="0"/>
        <v>2.7</v>
      </c>
      <c r="K17" s="127">
        <f t="shared" si="1"/>
        <v>90</v>
      </c>
      <c r="L17" s="127" t="str">
        <f ca="1">IFERROR(IF(OR(K17&lt;&gt;Angle,FLOOR(J17,4)&lt;&gt;FLOOR(Mounting,4)),"Over-write",IFERROR(VLOOKUP($E$9,'Panel Emissions'!$B$25:$I$38,MATCH('Panel Sizer Tool'!E17,'Panel Emissions'!$B$25:$I$25,0),TRUE),"")/IF(EmissionsBasis=OFFSET(EmissionsByArea,0,-1),1,IF(EmissionsBasis=OFFSET(EmissionsByLength,0,-1),Width/1000,"?"))),"")</f>
        <v/>
      </c>
      <c r="M17" s="2" t="str">
        <f t="shared" ca="1" si="9"/>
        <v/>
      </c>
      <c r="N17" s="142" t="str">
        <f t="shared" ca="1" si="2"/>
        <v/>
      </c>
      <c r="O17" s="118">
        <f t="shared" si="3"/>
        <v>600</v>
      </c>
      <c r="P17" s="219" t="str">
        <f t="shared" ca="1" si="4"/>
        <v/>
      </c>
      <c r="Q17" s="142" t="str">
        <f t="shared" ca="1" si="10"/>
        <v/>
      </c>
      <c r="R17" s="142" t="str">
        <f t="shared" ca="1" si="5"/>
        <v/>
      </c>
      <c r="S17" s="142" t="str">
        <f t="shared" ca="1" si="6"/>
        <v/>
      </c>
      <c r="T17" s="168">
        <f t="shared" ca="1" si="7"/>
        <v>0</v>
      </c>
      <c r="U17" s="142" t="s">
        <v>69</v>
      </c>
      <c r="V17" s="142" t="s">
        <v>69</v>
      </c>
      <c r="W17" s="210"/>
      <c r="X17" s="162"/>
      <c r="Y17" s="162"/>
      <c r="Z17" s="162"/>
      <c r="AA17" s="162"/>
      <c r="AB17" s="162"/>
      <c r="AC17" s="162"/>
      <c r="AD17" s="162"/>
      <c r="AE17" s="162"/>
      <c r="AF17" s="162"/>
      <c r="AG17" s="162"/>
      <c r="AH17" s="162"/>
      <c r="AI17" s="162"/>
      <c r="AJ17" s="162"/>
      <c r="AK17" s="162"/>
      <c r="AL17" s="162"/>
      <c r="AM17" s="162"/>
      <c r="AN17" s="162"/>
      <c r="AO17" s="162"/>
      <c r="AP17" s="162"/>
      <c r="AQ17" s="162"/>
    </row>
    <row r="18" spans="2:43" s="130" customFormat="1" x14ac:dyDescent="0.2">
      <c r="B18" s="204">
        <v>7</v>
      </c>
      <c r="C18" s="206"/>
      <c r="D18" s="206"/>
      <c r="E18" s="206"/>
      <c r="F18" s="206"/>
      <c r="G18" s="207"/>
      <c r="H18" s="207"/>
      <c r="I18" s="116" t="str">
        <f t="shared" ref="I18:I28" si="11">IFERROR(F18/(G18/1000)/(H18/1000),"")</f>
        <v/>
      </c>
      <c r="J18" s="127">
        <f t="shared" si="0"/>
        <v>2.7</v>
      </c>
      <c r="K18" s="127">
        <f t="shared" si="1"/>
        <v>90</v>
      </c>
      <c r="L18" s="127" t="str">
        <f ca="1">IFERROR(IF(OR(K18&lt;&gt;Angle,FLOOR(J18,4)&lt;&gt;FLOOR(Mounting,4)),"Over-write",IFERROR(VLOOKUP($E$9,'Panel Emissions'!$B$25:$I$38,MATCH('Panel Sizer Tool'!E18,'Panel Emissions'!$B$25:$I$25,0),TRUE),"")/IF(EmissionsBasis=OFFSET(EmissionsByArea,0,-1),1,IF(EmissionsBasis=OFFSET(EmissionsByLength,0,-1),Width/1000,"?"))),"")</f>
        <v/>
      </c>
      <c r="M18" s="2" t="str">
        <f t="shared" ref="M18:M28" ca="1" si="12">IF(ISNUMBER(L18)=FALSE,"",F18/L18)</f>
        <v/>
      </c>
      <c r="N18" s="142" t="str">
        <f t="shared" ca="1" si="2"/>
        <v/>
      </c>
      <c r="O18" s="118">
        <f t="shared" si="3"/>
        <v>600</v>
      </c>
      <c r="P18" s="219" t="str">
        <f t="shared" ref="P18:P28" ca="1" si="13">IFERROR(ROUNDUP(M18*10^6/O18/MAX(G18:H18),0),"")</f>
        <v/>
      </c>
      <c r="Q18" s="142" t="str">
        <f t="shared" ref="Q18:Q28" ca="1" si="14">IF(OR(M18="",P18=0,P18=""),"",CEILING(M18*10^6/P18/O18,600))</f>
        <v/>
      </c>
      <c r="R18" s="142" t="str">
        <f t="shared" ca="1" si="5"/>
        <v/>
      </c>
      <c r="S18" s="142" t="str">
        <f t="shared" ca="1" si="6"/>
        <v/>
      </c>
      <c r="T18" s="168">
        <f t="shared" ca="1" si="7"/>
        <v>0</v>
      </c>
      <c r="U18" s="142" t="s">
        <v>69</v>
      </c>
      <c r="V18" s="142" t="s">
        <v>69</v>
      </c>
      <c r="W18" s="210"/>
      <c r="X18" s="162"/>
      <c r="Y18" s="162"/>
      <c r="Z18" s="162"/>
      <c r="AA18" s="162"/>
      <c r="AB18" s="162"/>
      <c r="AC18" s="162"/>
      <c r="AD18" s="162"/>
      <c r="AE18" s="162"/>
      <c r="AF18" s="162"/>
      <c r="AG18" s="162"/>
      <c r="AH18" s="162"/>
      <c r="AI18" s="162"/>
      <c r="AJ18" s="162"/>
      <c r="AK18" s="162"/>
      <c r="AL18" s="162"/>
      <c r="AM18" s="162"/>
      <c r="AN18" s="162"/>
      <c r="AO18" s="162"/>
      <c r="AP18" s="162"/>
      <c r="AQ18" s="162"/>
    </row>
    <row r="19" spans="2:43" s="130" customFormat="1" x14ac:dyDescent="0.2">
      <c r="B19" s="204">
        <v>8</v>
      </c>
      <c r="C19" s="206"/>
      <c r="D19" s="206"/>
      <c r="E19" s="206"/>
      <c r="F19" s="206"/>
      <c r="G19" s="207"/>
      <c r="H19" s="207"/>
      <c r="I19" s="116" t="str">
        <f t="shared" si="11"/>
        <v/>
      </c>
      <c r="J19" s="127">
        <f t="shared" si="0"/>
        <v>2.7</v>
      </c>
      <c r="K19" s="127">
        <f t="shared" si="1"/>
        <v>90</v>
      </c>
      <c r="L19" s="127" t="str">
        <f ca="1">IFERROR(IF(OR(K19&lt;&gt;Angle,FLOOR(J19,4)&lt;&gt;FLOOR(Mounting,4)),"Over-write",IFERROR(VLOOKUP($E$9,'Panel Emissions'!$B$25:$I$38,MATCH('Panel Sizer Tool'!E19,'Panel Emissions'!$B$25:$I$25,0),TRUE),"")/IF(EmissionsBasis=OFFSET(EmissionsByArea,0,-1),1,IF(EmissionsBasis=OFFSET(EmissionsByLength,0,-1),Width/1000,"?"))),"")</f>
        <v/>
      </c>
      <c r="M19" s="2" t="str">
        <f t="shared" ca="1" si="12"/>
        <v/>
      </c>
      <c r="N19" s="142" t="str">
        <f t="shared" ca="1" si="2"/>
        <v/>
      </c>
      <c r="O19" s="118">
        <f t="shared" si="3"/>
        <v>600</v>
      </c>
      <c r="P19" s="219" t="str">
        <f t="shared" ca="1" si="13"/>
        <v/>
      </c>
      <c r="Q19" s="142" t="str">
        <f t="shared" ca="1" si="14"/>
        <v/>
      </c>
      <c r="R19" s="142" t="str">
        <f t="shared" ca="1" si="5"/>
        <v/>
      </c>
      <c r="S19" s="142" t="str">
        <f t="shared" ca="1" si="6"/>
        <v/>
      </c>
      <c r="T19" s="168">
        <f t="shared" ca="1" si="7"/>
        <v>0</v>
      </c>
      <c r="U19" s="142" t="s">
        <v>69</v>
      </c>
      <c r="V19" s="142" t="s">
        <v>69</v>
      </c>
      <c r="W19" s="210"/>
      <c r="X19" s="162"/>
      <c r="Y19" s="162"/>
      <c r="Z19" s="162"/>
      <c r="AA19" s="162"/>
      <c r="AB19" s="162"/>
      <c r="AC19" s="162"/>
      <c r="AD19" s="162"/>
      <c r="AE19" s="162"/>
      <c r="AF19" s="162"/>
      <c r="AG19" s="162"/>
      <c r="AH19" s="162"/>
      <c r="AI19" s="162"/>
      <c r="AJ19" s="162"/>
      <c r="AK19" s="162"/>
      <c r="AL19" s="162"/>
      <c r="AM19" s="162"/>
      <c r="AN19" s="162"/>
      <c r="AO19" s="162"/>
      <c r="AP19" s="162"/>
      <c r="AQ19" s="162"/>
    </row>
    <row r="20" spans="2:43" s="130" customFormat="1" x14ac:dyDescent="0.2">
      <c r="B20" s="204">
        <v>9</v>
      </c>
      <c r="C20" s="206"/>
      <c r="D20" s="206"/>
      <c r="E20" s="206"/>
      <c r="F20" s="206"/>
      <c r="G20" s="207"/>
      <c r="H20" s="207"/>
      <c r="I20" s="116" t="str">
        <f t="shared" si="11"/>
        <v/>
      </c>
      <c r="J20" s="127">
        <f t="shared" si="0"/>
        <v>2.7</v>
      </c>
      <c r="K20" s="127">
        <f t="shared" si="1"/>
        <v>90</v>
      </c>
      <c r="L20" s="127" t="str">
        <f ca="1">IFERROR(IF(OR(K20&lt;&gt;Angle,FLOOR(J20,4)&lt;&gt;FLOOR(Mounting,4)),"Over-write",IFERROR(VLOOKUP($E$9,'Panel Emissions'!$B$25:$I$38,MATCH('Panel Sizer Tool'!E20,'Panel Emissions'!$B$25:$I$25,0),TRUE),"")/IF(EmissionsBasis=OFFSET(EmissionsByArea,0,-1),1,IF(EmissionsBasis=OFFSET(EmissionsByLength,0,-1),Width/1000,"?"))),"")</f>
        <v/>
      </c>
      <c r="M20" s="2" t="str">
        <f t="shared" ca="1" si="12"/>
        <v/>
      </c>
      <c r="N20" s="142" t="str">
        <f t="shared" ca="1" si="2"/>
        <v/>
      </c>
      <c r="O20" s="118">
        <f t="shared" si="3"/>
        <v>600</v>
      </c>
      <c r="P20" s="219" t="str">
        <f t="shared" ca="1" si="13"/>
        <v/>
      </c>
      <c r="Q20" s="142" t="str">
        <f t="shared" ca="1" si="14"/>
        <v/>
      </c>
      <c r="R20" s="142" t="str">
        <f t="shared" ca="1" si="5"/>
        <v/>
      </c>
      <c r="S20" s="142" t="str">
        <f t="shared" ca="1" si="6"/>
        <v/>
      </c>
      <c r="T20" s="168">
        <f t="shared" ca="1" si="7"/>
        <v>0</v>
      </c>
      <c r="U20" s="142" t="s">
        <v>69</v>
      </c>
      <c r="V20" s="142" t="s">
        <v>69</v>
      </c>
      <c r="W20" s="210"/>
      <c r="X20" s="162"/>
      <c r="Y20" s="162"/>
      <c r="Z20" s="162"/>
      <c r="AA20" s="162"/>
      <c r="AB20" s="162"/>
      <c r="AC20" s="162"/>
      <c r="AD20" s="162"/>
      <c r="AE20" s="162"/>
      <c r="AF20" s="162"/>
      <c r="AG20" s="162"/>
      <c r="AH20" s="162"/>
      <c r="AI20" s="162"/>
      <c r="AJ20" s="162"/>
      <c r="AK20" s="162"/>
      <c r="AL20" s="162"/>
      <c r="AM20" s="162"/>
      <c r="AN20" s="162"/>
      <c r="AO20" s="162"/>
      <c r="AP20" s="162"/>
      <c r="AQ20" s="162"/>
    </row>
    <row r="21" spans="2:43" s="130" customFormat="1" x14ac:dyDescent="0.2">
      <c r="B21" s="204">
        <v>10</v>
      </c>
      <c r="C21" s="206"/>
      <c r="D21" s="206"/>
      <c r="E21" s="206"/>
      <c r="F21" s="206"/>
      <c r="G21" s="207"/>
      <c r="H21" s="207"/>
      <c r="I21" s="116" t="str">
        <f t="shared" si="11"/>
        <v/>
      </c>
      <c r="J21" s="127">
        <f t="shared" si="0"/>
        <v>2.7</v>
      </c>
      <c r="K21" s="127">
        <f t="shared" si="1"/>
        <v>90</v>
      </c>
      <c r="L21" s="127" t="str">
        <f ca="1">IFERROR(IF(OR(K21&lt;&gt;Angle,FLOOR(J21,4)&lt;&gt;FLOOR(Mounting,4)),"Over-write",IFERROR(VLOOKUP($E$9,'Panel Emissions'!$B$25:$I$38,MATCH('Panel Sizer Tool'!E21,'Panel Emissions'!$B$25:$I$25,0),TRUE),"")/IF(EmissionsBasis=OFFSET(EmissionsByArea,0,-1),1,IF(EmissionsBasis=OFFSET(EmissionsByLength,0,-1),Width/1000,"?"))),"")</f>
        <v/>
      </c>
      <c r="M21" s="2" t="str">
        <f t="shared" ca="1" si="12"/>
        <v/>
      </c>
      <c r="N21" s="142" t="str">
        <f t="shared" ca="1" si="2"/>
        <v/>
      </c>
      <c r="O21" s="118">
        <f t="shared" si="3"/>
        <v>600</v>
      </c>
      <c r="P21" s="219" t="str">
        <f t="shared" ca="1" si="13"/>
        <v/>
      </c>
      <c r="Q21" s="142" t="str">
        <f t="shared" ca="1" si="14"/>
        <v/>
      </c>
      <c r="R21" s="142" t="str">
        <f t="shared" ca="1" si="5"/>
        <v/>
      </c>
      <c r="S21" s="142" t="str">
        <f t="shared" ca="1" si="6"/>
        <v/>
      </c>
      <c r="T21" s="168">
        <f t="shared" ca="1" si="7"/>
        <v>0</v>
      </c>
      <c r="U21" s="142" t="s">
        <v>69</v>
      </c>
      <c r="V21" s="142" t="s">
        <v>69</v>
      </c>
      <c r="W21" s="210"/>
      <c r="X21" s="162"/>
      <c r="Y21" s="162"/>
      <c r="Z21" s="162"/>
      <c r="AA21" s="162"/>
      <c r="AB21" s="162"/>
      <c r="AC21" s="162"/>
      <c r="AD21" s="162"/>
      <c r="AE21" s="162"/>
      <c r="AF21" s="162"/>
      <c r="AG21" s="162"/>
      <c r="AH21" s="162"/>
      <c r="AI21" s="162"/>
      <c r="AJ21" s="162"/>
      <c r="AK21" s="162"/>
      <c r="AL21" s="162"/>
      <c r="AM21" s="162"/>
      <c r="AN21" s="162"/>
      <c r="AO21" s="162"/>
      <c r="AP21" s="162"/>
      <c r="AQ21" s="162"/>
    </row>
    <row r="22" spans="2:43" s="130" customFormat="1" x14ac:dyDescent="0.2">
      <c r="B22" s="204">
        <v>11</v>
      </c>
      <c r="C22" s="206"/>
      <c r="D22" s="206"/>
      <c r="E22" s="206"/>
      <c r="F22" s="206"/>
      <c r="G22" s="207"/>
      <c r="H22" s="207"/>
      <c r="I22" s="116" t="str">
        <f t="shared" si="11"/>
        <v/>
      </c>
      <c r="J22" s="127">
        <f t="shared" si="0"/>
        <v>2.7</v>
      </c>
      <c r="K22" s="127">
        <f t="shared" si="1"/>
        <v>90</v>
      </c>
      <c r="L22" s="127" t="str">
        <f ca="1">IFERROR(IF(OR(K22&lt;&gt;Angle,FLOOR(J22,4)&lt;&gt;FLOOR(Mounting,4)),"Over-write",IFERROR(VLOOKUP($E$9,'Panel Emissions'!$B$25:$I$38,MATCH('Panel Sizer Tool'!E22,'Panel Emissions'!$B$25:$I$25,0),TRUE),"")/IF(EmissionsBasis=OFFSET(EmissionsByArea,0,-1),1,IF(EmissionsBasis=OFFSET(EmissionsByLength,0,-1),Width/1000,"?"))),"")</f>
        <v/>
      </c>
      <c r="M22" s="2" t="str">
        <f t="shared" ca="1" si="12"/>
        <v/>
      </c>
      <c r="N22" s="142" t="str">
        <f t="shared" ca="1" si="2"/>
        <v/>
      </c>
      <c r="O22" s="118">
        <f t="shared" si="3"/>
        <v>600</v>
      </c>
      <c r="P22" s="219" t="str">
        <f t="shared" ca="1" si="13"/>
        <v/>
      </c>
      <c r="Q22" s="142" t="str">
        <f t="shared" ca="1" si="14"/>
        <v/>
      </c>
      <c r="R22" s="142" t="str">
        <f t="shared" ca="1" si="5"/>
        <v/>
      </c>
      <c r="S22" s="142" t="str">
        <f t="shared" ca="1" si="6"/>
        <v/>
      </c>
      <c r="T22" s="168">
        <f t="shared" ca="1" si="7"/>
        <v>0</v>
      </c>
      <c r="U22" s="142" t="s">
        <v>69</v>
      </c>
      <c r="V22" s="142" t="s">
        <v>69</v>
      </c>
      <c r="W22" s="210"/>
      <c r="X22" s="162"/>
      <c r="Y22" s="162"/>
      <c r="Z22" s="162"/>
      <c r="AA22" s="162"/>
      <c r="AB22" s="162"/>
      <c r="AC22" s="162"/>
      <c r="AD22" s="162"/>
      <c r="AE22" s="162"/>
      <c r="AF22" s="162"/>
      <c r="AG22" s="162"/>
      <c r="AH22" s="162"/>
      <c r="AI22" s="162"/>
      <c r="AJ22" s="162"/>
      <c r="AK22" s="162"/>
      <c r="AL22" s="162"/>
      <c r="AM22" s="162"/>
      <c r="AN22" s="162"/>
      <c r="AO22" s="162"/>
      <c r="AP22" s="162"/>
      <c r="AQ22" s="162"/>
    </row>
    <row r="23" spans="2:43" s="130" customFormat="1" x14ac:dyDescent="0.2">
      <c r="B23" s="204">
        <v>12</v>
      </c>
      <c r="C23" s="206"/>
      <c r="D23" s="206"/>
      <c r="E23" s="206"/>
      <c r="F23" s="206"/>
      <c r="G23" s="207"/>
      <c r="H23" s="207"/>
      <c r="I23" s="116" t="str">
        <f t="shared" si="11"/>
        <v/>
      </c>
      <c r="J23" s="127">
        <f t="shared" si="0"/>
        <v>2.7</v>
      </c>
      <c r="K23" s="127">
        <f t="shared" si="1"/>
        <v>90</v>
      </c>
      <c r="L23" s="127" t="str">
        <f ca="1">IFERROR(IF(OR(K23&lt;&gt;Angle,FLOOR(J23,4)&lt;&gt;FLOOR(Mounting,4)),"Over-write",IFERROR(VLOOKUP($E$9,'Panel Emissions'!$B$25:$I$38,MATCH('Panel Sizer Tool'!E23,'Panel Emissions'!$B$25:$I$25,0),TRUE),"")/IF(EmissionsBasis=OFFSET(EmissionsByArea,0,-1),1,IF(EmissionsBasis=OFFSET(EmissionsByLength,0,-1),Width/1000,"?"))),"")</f>
        <v/>
      </c>
      <c r="M23" s="2" t="str">
        <f t="shared" ca="1" si="12"/>
        <v/>
      </c>
      <c r="N23" s="142" t="str">
        <f t="shared" ca="1" si="2"/>
        <v/>
      </c>
      <c r="O23" s="118">
        <f t="shared" si="3"/>
        <v>600</v>
      </c>
      <c r="P23" s="219" t="str">
        <f t="shared" ca="1" si="13"/>
        <v/>
      </c>
      <c r="Q23" s="142" t="str">
        <f t="shared" ca="1" si="14"/>
        <v/>
      </c>
      <c r="R23" s="142" t="str">
        <f t="shared" ca="1" si="5"/>
        <v/>
      </c>
      <c r="S23" s="142" t="str">
        <f t="shared" ca="1" si="6"/>
        <v/>
      </c>
      <c r="T23" s="168">
        <f t="shared" ca="1" si="7"/>
        <v>0</v>
      </c>
      <c r="U23" s="142" t="s">
        <v>69</v>
      </c>
      <c r="V23" s="142" t="s">
        <v>69</v>
      </c>
      <c r="W23" s="210"/>
      <c r="X23" s="162"/>
      <c r="Y23" s="162"/>
      <c r="Z23" s="162"/>
      <c r="AA23" s="162"/>
      <c r="AB23" s="162"/>
      <c r="AC23" s="162"/>
      <c r="AD23" s="162"/>
      <c r="AE23" s="162"/>
      <c r="AF23" s="162"/>
      <c r="AG23" s="162"/>
      <c r="AH23" s="162"/>
      <c r="AI23" s="162"/>
      <c r="AJ23" s="162"/>
      <c r="AK23" s="162"/>
      <c r="AL23" s="162"/>
      <c r="AM23" s="162"/>
      <c r="AN23" s="162"/>
      <c r="AO23" s="162"/>
      <c r="AP23" s="162"/>
      <c r="AQ23" s="162"/>
    </row>
    <row r="24" spans="2:43" s="130" customFormat="1" x14ac:dyDescent="0.2">
      <c r="B24" s="204">
        <v>13</v>
      </c>
      <c r="C24" s="206"/>
      <c r="D24" s="206"/>
      <c r="E24" s="206"/>
      <c r="F24" s="206"/>
      <c r="G24" s="207"/>
      <c r="H24" s="207"/>
      <c r="I24" s="116" t="str">
        <f t="shared" si="11"/>
        <v/>
      </c>
      <c r="J24" s="127">
        <f t="shared" si="0"/>
        <v>2.7</v>
      </c>
      <c r="K24" s="127">
        <f t="shared" si="1"/>
        <v>90</v>
      </c>
      <c r="L24" s="127" t="str">
        <f ca="1">IFERROR(IF(OR(K24&lt;&gt;Angle,FLOOR(J24,4)&lt;&gt;FLOOR(Mounting,4)),"Over-write",IFERROR(VLOOKUP($E$9,'Panel Emissions'!$B$25:$I$38,MATCH('Panel Sizer Tool'!E24,'Panel Emissions'!$B$25:$I$25,0),TRUE),"")/IF(EmissionsBasis=OFFSET(EmissionsByArea,0,-1),1,IF(EmissionsBasis=OFFSET(EmissionsByLength,0,-1),Width/1000,"?"))),"")</f>
        <v/>
      </c>
      <c r="M24" s="2" t="str">
        <f t="shared" ca="1" si="12"/>
        <v/>
      </c>
      <c r="N24" s="142" t="str">
        <f t="shared" ca="1" si="2"/>
        <v/>
      </c>
      <c r="O24" s="118">
        <f t="shared" si="3"/>
        <v>600</v>
      </c>
      <c r="P24" s="219" t="str">
        <f t="shared" ca="1" si="13"/>
        <v/>
      </c>
      <c r="Q24" s="142" t="str">
        <f t="shared" ca="1" si="14"/>
        <v/>
      </c>
      <c r="R24" s="142" t="str">
        <f t="shared" ca="1" si="5"/>
        <v/>
      </c>
      <c r="S24" s="142" t="str">
        <f t="shared" ca="1" si="6"/>
        <v/>
      </c>
      <c r="T24" s="168">
        <f t="shared" ca="1" si="7"/>
        <v>0</v>
      </c>
      <c r="U24" s="142" t="s">
        <v>69</v>
      </c>
      <c r="V24" s="142" t="s">
        <v>69</v>
      </c>
      <c r="W24" s="210"/>
      <c r="X24" s="162"/>
      <c r="Y24" s="162"/>
      <c r="Z24" s="162"/>
      <c r="AA24" s="162"/>
      <c r="AB24" s="162"/>
      <c r="AC24" s="162"/>
      <c r="AD24" s="162"/>
      <c r="AE24" s="162"/>
      <c r="AF24" s="162"/>
      <c r="AG24" s="162"/>
      <c r="AH24" s="162"/>
      <c r="AI24" s="162"/>
      <c r="AJ24" s="162"/>
      <c r="AK24" s="162"/>
      <c r="AL24" s="162"/>
      <c r="AM24" s="162"/>
      <c r="AN24" s="162"/>
      <c r="AO24" s="162"/>
      <c r="AP24" s="162"/>
      <c r="AQ24" s="162"/>
    </row>
    <row r="25" spans="2:43" s="130" customFormat="1" x14ac:dyDescent="0.2">
      <c r="B25" s="204">
        <v>14</v>
      </c>
      <c r="C25" s="206"/>
      <c r="D25" s="206"/>
      <c r="E25" s="206"/>
      <c r="F25" s="206"/>
      <c r="G25" s="207"/>
      <c r="H25" s="207"/>
      <c r="I25" s="116" t="str">
        <f t="shared" si="11"/>
        <v/>
      </c>
      <c r="J25" s="127">
        <f t="shared" si="0"/>
        <v>2.7</v>
      </c>
      <c r="K25" s="127">
        <f t="shared" si="1"/>
        <v>90</v>
      </c>
      <c r="L25" s="127" t="str">
        <f ca="1">IFERROR(IF(OR(K25&lt;&gt;Angle,FLOOR(J25,4)&lt;&gt;FLOOR(Mounting,4)),"Over-write",IFERROR(VLOOKUP($E$9,'Panel Emissions'!$B$25:$I$38,MATCH('Panel Sizer Tool'!E25,'Panel Emissions'!$B$25:$I$25,0),TRUE),"")/IF(EmissionsBasis=OFFSET(EmissionsByArea,0,-1),1,IF(EmissionsBasis=OFFSET(EmissionsByLength,0,-1),Width/1000,"?"))),"")</f>
        <v/>
      </c>
      <c r="M25" s="2" t="str">
        <f t="shared" ca="1" si="12"/>
        <v/>
      </c>
      <c r="N25" s="142" t="str">
        <f t="shared" ca="1" si="2"/>
        <v/>
      </c>
      <c r="O25" s="118">
        <f t="shared" si="3"/>
        <v>600</v>
      </c>
      <c r="P25" s="219" t="str">
        <f t="shared" ca="1" si="13"/>
        <v/>
      </c>
      <c r="Q25" s="142" t="str">
        <f t="shared" ca="1" si="14"/>
        <v/>
      </c>
      <c r="R25" s="142" t="str">
        <f t="shared" ca="1" si="5"/>
        <v/>
      </c>
      <c r="S25" s="142" t="str">
        <f t="shared" ca="1" si="6"/>
        <v/>
      </c>
      <c r="T25" s="168">
        <f t="shared" ca="1" si="7"/>
        <v>0</v>
      </c>
      <c r="U25" s="142" t="s">
        <v>69</v>
      </c>
      <c r="V25" s="142" t="s">
        <v>69</v>
      </c>
      <c r="W25" s="210"/>
      <c r="X25" s="162"/>
      <c r="Y25" s="162"/>
      <c r="Z25" s="162"/>
      <c r="AA25" s="162"/>
      <c r="AB25" s="162"/>
      <c r="AC25" s="162"/>
      <c r="AD25" s="162"/>
      <c r="AE25" s="162"/>
      <c r="AF25" s="162"/>
      <c r="AG25" s="162"/>
      <c r="AH25" s="162"/>
      <c r="AI25" s="162"/>
      <c r="AJ25" s="162"/>
      <c r="AK25" s="162"/>
      <c r="AL25" s="162"/>
      <c r="AM25" s="162"/>
      <c r="AN25" s="162"/>
      <c r="AO25" s="162"/>
      <c r="AP25" s="162"/>
      <c r="AQ25" s="162"/>
    </row>
    <row r="26" spans="2:43" s="130" customFormat="1" x14ac:dyDescent="0.2">
      <c r="B26" s="204">
        <v>15</v>
      </c>
      <c r="C26" s="206"/>
      <c r="D26" s="206"/>
      <c r="E26" s="206"/>
      <c r="F26" s="206"/>
      <c r="G26" s="207"/>
      <c r="H26" s="207"/>
      <c r="I26" s="116" t="str">
        <f t="shared" si="11"/>
        <v/>
      </c>
      <c r="J26" s="127">
        <f t="shared" si="0"/>
        <v>2.7</v>
      </c>
      <c r="K26" s="127">
        <f t="shared" si="1"/>
        <v>90</v>
      </c>
      <c r="L26" s="127" t="str">
        <f ca="1">IFERROR(IF(OR(K26&lt;&gt;Angle,FLOOR(J26,4)&lt;&gt;FLOOR(Mounting,4)),"Over-write",IFERROR(VLOOKUP($E$9,'Panel Emissions'!$B$25:$I$38,MATCH('Panel Sizer Tool'!E26,'Panel Emissions'!$B$25:$I$25,0),TRUE),"")/IF(EmissionsBasis=OFFSET(EmissionsByArea,0,-1),1,IF(EmissionsBasis=OFFSET(EmissionsByLength,0,-1),Width/1000,"?"))),"")</f>
        <v/>
      </c>
      <c r="M26" s="2" t="str">
        <f t="shared" ca="1" si="12"/>
        <v/>
      </c>
      <c r="N26" s="142" t="str">
        <f t="shared" ca="1" si="2"/>
        <v/>
      </c>
      <c r="O26" s="118">
        <f t="shared" si="3"/>
        <v>600</v>
      </c>
      <c r="P26" s="219" t="str">
        <f t="shared" ca="1" si="13"/>
        <v/>
      </c>
      <c r="Q26" s="142" t="str">
        <f t="shared" ca="1" si="14"/>
        <v/>
      </c>
      <c r="R26" s="142" t="str">
        <f t="shared" ca="1" si="5"/>
        <v/>
      </c>
      <c r="S26" s="142" t="str">
        <f t="shared" ca="1" si="6"/>
        <v/>
      </c>
      <c r="T26" s="168">
        <f t="shared" ca="1" si="7"/>
        <v>0</v>
      </c>
      <c r="U26" s="142" t="s">
        <v>69</v>
      </c>
      <c r="V26" s="142" t="s">
        <v>69</v>
      </c>
      <c r="W26" s="210"/>
      <c r="X26" s="162"/>
      <c r="Y26" s="162"/>
      <c r="Z26" s="162"/>
      <c r="AA26" s="162"/>
      <c r="AB26" s="162"/>
      <c r="AC26" s="162"/>
      <c r="AD26" s="162"/>
      <c r="AE26" s="162"/>
      <c r="AF26" s="162"/>
      <c r="AG26" s="162"/>
      <c r="AH26" s="162"/>
      <c r="AI26" s="162"/>
      <c r="AJ26" s="162"/>
      <c r="AK26" s="162"/>
      <c r="AL26" s="162"/>
      <c r="AM26" s="162"/>
      <c r="AN26" s="162"/>
      <c r="AO26" s="162"/>
      <c r="AP26" s="162"/>
      <c r="AQ26" s="162"/>
    </row>
    <row r="27" spans="2:43" s="130" customFormat="1" x14ac:dyDescent="0.2">
      <c r="B27" s="204">
        <v>16</v>
      </c>
      <c r="C27" s="206"/>
      <c r="D27" s="206"/>
      <c r="E27" s="206"/>
      <c r="F27" s="206"/>
      <c r="G27" s="207"/>
      <c r="H27" s="207"/>
      <c r="I27" s="116" t="str">
        <f t="shared" si="11"/>
        <v/>
      </c>
      <c r="J27" s="127">
        <f t="shared" si="0"/>
        <v>2.7</v>
      </c>
      <c r="K27" s="127">
        <f t="shared" si="1"/>
        <v>90</v>
      </c>
      <c r="L27" s="127" t="str">
        <f ca="1">IFERROR(IF(OR(K27&lt;&gt;Angle,FLOOR(J27,4)&lt;&gt;FLOOR(Mounting,4)),"Over-write",IFERROR(VLOOKUP($E$9,'Panel Emissions'!$B$25:$I$38,MATCH('Panel Sizer Tool'!E27,'Panel Emissions'!$B$25:$I$25,0),TRUE),"")/IF(EmissionsBasis=OFFSET(EmissionsByArea,0,-1),1,IF(EmissionsBasis=OFFSET(EmissionsByLength,0,-1),Width/1000,"?"))),"")</f>
        <v/>
      </c>
      <c r="M27" s="2" t="str">
        <f t="shared" ca="1" si="12"/>
        <v/>
      </c>
      <c r="N27" s="142" t="str">
        <f t="shared" ca="1" si="2"/>
        <v/>
      </c>
      <c r="O27" s="118">
        <f t="shared" si="3"/>
        <v>600</v>
      </c>
      <c r="P27" s="219" t="str">
        <f t="shared" ca="1" si="13"/>
        <v/>
      </c>
      <c r="Q27" s="142" t="str">
        <f t="shared" ca="1" si="14"/>
        <v/>
      </c>
      <c r="R27" s="142" t="str">
        <f t="shared" ca="1" si="5"/>
        <v/>
      </c>
      <c r="S27" s="142" t="str">
        <f t="shared" ca="1" si="6"/>
        <v/>
      </c>
      <c r="T27" s="168">
        <f t="shared" ca="1" si="7"/>
        <v>0</v>
      </c>
      <c r="U27" s="142" t="s">
        <v>69</v>
      </c>
      <c r="V27" s="142" t="s">
        <v>69</v>
      </c>
      <c r="W27" s="210"/>
      <c r="X27" s="162"/>
      <c r="Y27" s="162"/>
      <c r="Z27" s="162"/>
      <c r="AA27" s="162"/>
      <c r="AB27" s="162"/>
      <c r="AC27" s="162"/>
      <c r="AD27" s="162"/>
      <c r="AE27" s="162"/>
      <c r="AF27" s="162"/>
      <c r="AG27" s="162"/>
      <c r="AH27" s="162"/>
      <c r="AI27" s="162"/>
      <c r="AJ27" s="162"/>
      <c r="AK27" s="162"/>
      <c r="AL27" s="162"/>
      <c r="AM27" s="162"/>
      <c r="AN27" s="162"/>
      <c r="AO27" s="162"/>
      <c r="AP27" s="162"/>
      <c r="AQ27" s="162"/>
    </row>
    <row r="28" spans="2:43" s="130" customFormat="1" ht="13.5" thickBot="1" x14ac:dyDescent="0.25">
      <c r="B28" s="205">
        <v>17</v>
      </c>
      <c r="C28" s="208"/>
      <c r="D28" s="208"/>
      <c r="E28" s="208"/>
      <c r="F28" s="208"/>
      <c r="G28" s="209"/>
      <c r="H28" s="209"/>
      <c r="I28" s="117" t="str">
        <f t="shared" si="11"/>
        <v/>
      </c>
      <c r="J28" s="128">
        <f t="shared" si="0"/>
        <v>2.7</v>
      </c>
      <c r="K28" s="128">
        <f t="shared" si="1"/>
        <v>90</v>
      </c>
      <c r="L28" s="128" t="str">
        <f ca="1">IFERROR(IF(OR(K28&lt;&gt;Angle,FLOOR(J28,4)&lt;&gt;FLOOR(Mounting,4)),"Over-write",IFERROR(VLOOKUP($E$9,'Panel Emissions'!$B$25:$I$38,MATCH('Panel Sizer Tool'!E28,'Panel Emissions'!$B$25:$I$25,0),TRUE),"")/IF(EmissionsBasis=OFFSET(EmissionsByArea,0,-1),1,IF(EmissionsBasis=OFFSET(EmissionsByLength,0,-1),Width/1000,"?"))),"")</f>
        <v/>
      </c>
      <c r="M28" s="3" t="str">
        <f t="shared" ca="1" si="12"/>
        <v/>
      </c>
      <c r="N28" s="143" t="str">
        <f t="shared" ca="1" si="2"/>
        <v/>
      </c>
      <c r="O28" s="141">
        <f t="shared" si="3"/>
        <v>600</v>
      </c>
      <c r="P28" s="220" t="str">
        <f t="shared" ca="1" si="13"/>
        <v/>
      </c>
      <c r="Q28" s="143" t="str">
        <f t="shared" ca="1" si="14"/>
        <v/>
      </c>
      <c r="R28" s="142" t="str">
        <f t="shared" ca="1" si="5"/>
        <v/>
      </c>
      <c r="S28" s="143" t="str">
        <f t="shared" ca="1" si="6"/>
        <v/>
      </c>
      <c r="T28" s="168">
        <f t="shared" ca="1" si="7"/>
        <v>0</v>
      </c>
      <c r="U28" s="143" t="s">
        <v>69</v>
      </c>
      <c r="V28" s="143" t="s">
        <v>69</v>
      </c>
      <c r="W28" s="211"/>
      <c r="X28" s="162"/>
      <c r="Y28" s="162"/>
      <c r="Z28" s="162"/>
      <c r="AA28" s="162"/>
      <c r="AB28" s="162"/>
      <c r="AC28" s="162"/>
      <c r="AD28" s="162"/>
      <c r="AE28" s="162"/>
      <c r="AF28" s="162"/>
      <c r="AG28" s="162"/>
      <c r="AH28" s="162"/>
      <c r="AI28" s="162"/>
      <c r="AJ28" s="162"/>
      <c r="AK28" s="162"/>
      <c r="AL28" s="162"/>
      <c r="AM28" s="162"/>
      <c r="AN28" s="162"/>
      <c r="AO28" s="162"/>
      <c r="AP28" s="162"/>
      <c r="AQ28" s="162"/>
    </row>
    <row r="29" spans="2:43" s="4" customFormat="1" x14ac:dyDescent="0.2">
      <c r="J29" s="126"/>
      <c r="K29" s="126"/>
      <c r="O29" s="10">
        <f ca="1">SUM(P12:P28)</f>
        <v>0</v>
      </c>
      <c r="P29" s="215" t="s">
        <v>152</v>
      </c>
      <c r="R29" s="214">
        <f ca="1">(COUNTA(S12:S28)-COUNTBLANK(S12:S28))</f>
        <v>0</v>
      </c>
      <c r="S29" s="4" t="s">
        <v>153</v>
      </c>
    </row>
    <row r="30" spans="2:43" s="4" customFormat="1" ht="13.5" thickBot="1" x14ac:dyDescent="0.25">
      <c r="I30" s="126"/>
      <c r="J30" s="126"/>
      <c r="K30" s="182"/>
      <c r="O30" s="215" t="s">
        <v>151</v>
      </c>
      <c r="P30" s="216"/>
      <c r="Q30" s="216"/>
      <c r="R30" s="216"/>
      <c r="S30" s="216"/>
      <c r="T30" s="216"/>
    </row>
    <row r="31" spans="2:43" s="4" customFormat="1" x14ac:dyDescent="0.2">
      <c r="B31" s="151" t="s">
        <v>32</v>
      </c>
      <c r="C31" s="152"/>
      <c r="D31" s="152"/>
      <c r="E31" s="152"/>
      <c r="F31" s="152"/>
      <c r="G31" s="152"/>
      <c r="H31" s="152"/>
      <c r="I31" s="153"/>
      <c r="J31" s="153"/>
      <c r="K31" s="152"/>
      <c r="L31" s="152"/>
      <c r="M31" s="152"/>
      <c r="N31" s="152"/>
      <c r="O31" s="152"/>
      <c r="P31" s="152"/>
      <c r="Q31" s="152"/>
      <c r="R31" s="152"/>
      <c r="S31" s="152"/>
      <c r="T31" s="152"/>
      <c r="U31" s="152"/>
      <c r="V31" s="152"/>
      <c r="W31" s="154"/>
    </row>
    <row r="32" spans="2:43" s="4" customFormat="1" x14ac:dyDescent="0.2">
      <c r="B32" s="155" t="s">
        <v>96</v>
      </c>
      <c r="C32" s="156" t="s">
        <v>94</v>
      </c>
      <c r="D32" s="156"/>
      <c r="E32" s="156"/>
      <c r="F32" s="156"/>
      <c r="G32" s="156"/>
      <c r="H32" s="156"/>
      <c r="I32" s="156"/>
      <c r="J32" s="156"/>
      <c r="K32" s="156"/>
      <c r="L32" s="156"/>
      <c r="M32" s="156"/>
      <c r="N32" s="212" t="s">
        <v>139</v>
      </c>
      <c r="O32" s="156"/>
      <c r="P32" s="156"/>
      <c r="Q32" s="163"/>
      <c r="R32" s="163"/>
      <c r="S32" s="163"/>
      <c r="T32" s="163"/>
      <c r="U32" s="163"/>
      <c r="V32" s="163"/>
      <c r="W32" s="164"/>
    </row>
    <row r="33" spans="2:23" s="4" customFormat="1" x14ac:dyDescent="0.2">
      <c r="B33" s="157" t="s">
        <v>109</v>
      </c>
      <c r="C33" s="156"/>
      <c r="D33" s="156"/>
      <c r="E33" s="156"/>
      <c r="F33" s="156"/>
      <c r="G33" s="156"/>
      <c r="H33" s="156"/>
      <c r="I33" s="156"/>
      <c r="K33" s="167" t="s">
        <v>116</v>
      </c>
      <c r="L33" s="156"/>
      <c r="M33" s="156"/>
      <c r="N33" s="213" t="s">
        <v>140</v>
      </c>
      <c r="R33" s="163"/>
      <c r="S33" s="163"/>
      <c r="T33" s="163"/>
      <c r="U33" s="163"/>
      <c r="V33" s="163"/>
      <c r="W33" s="164"/>
    </row>
    <row r="34" spans="2:23" s="4" customFormat="1" x14ac:dyDescent="0.2">
      <c r="B34" s="155" t="s">
        <v>110</v>
      </c>
      <c r="C34" s="156" t="s">
        <v>39</v>
      </c>
      <c r="D34" s="156"/>
      <c r="E34" s="156"/>
      <c r="F34" s="156"/>
      <c r="G34" s="156"/>
      <c r="H34" s="156"/>
      <c r="I34" s="156"/>
      <c r="K34" s="156" t="s">
        <v>147</v>
      </c>
      <c r="L34" s="156"/>
      <c r="M34" s="156"/>
      <c r="N34" s="169" t="s">
        <v>61</v>
      </c>
      <c r="R34" s="163"/>
      <c r="S34" s="163"/>
      <c r="T34" s="163"/>
      <c r="U34" s="163"/>
      <c r="V34" s="163"/>
      <c r="W34" s="164"/>
    </row>
    <row r="35" spans="2:23" s="4" customFormat="1" x14ac:dyDescent="0.2">
      <c r="B35" s="155" t="s">
        <v>72</v>
      </c>
      <c r="C35" s="156" t="s">
        <v>40</v>
      </c>
      <c r="D35" s="156"/>
      <c r="E35" s="156"/>
      <c r="F35" s="156"/>
      <c r="G35" s="156"/>
      <c r="H35" s="156"/>
      <c r="I35" s="156"/>
      <c r="K35" s="156" t="s">
        <v>148</v>
      </c>
      <c r="L35" s="156"/>
      <c r="M35" s="156"/>
      <c r="N35" s="169" t="s">
        <v>61</v>
      </c>
      <c r="R35" s="163"/>
      <c r="S35" s="163"/>
      <c r="T35" s="163"/>
      <c r="U35" s="163"/>
      <c r="V35" s="163"/>
      <c r="W35" s="164"/>
    </row>
    <row r="36" spans="2:23" s="4" customFormat="1" x14ac:dyDescent="0.2">
      <c r="B36" s="155" t="s">
        <v>73</v>
      </c>
      <c r="C36" s="156" t="s">
        <v>128</v>
      </c>
      <c r="D36" s="156"/>
      <c r="E36" s="156"/>
      <c r="F36" s="156"/>
      <c r="G36" s="156"/>
      <c r="H36" s="156"/>
      <c r="I36" s="156"/>
      <c r="K36" s="156" t="s">
        <v>145</v>
      </c>
      <c r="L36" s="156"/>
      <c r="M36" s="156"/>
      <c r="N36" s="169" t="s">
        <v>61</v>
      </c>
      <c r="R36" s="163"/>
      <c r="S36" s="163"/>
      <c r="T36" s="163"/>
      <c r="U36" s="163"/>
      <c r="V36" s="163"/>
      <c r="W36" s="164"/>
    </row>
    <row r="37" spans="2:23" s="4" customFormat="1" x14ac:dyDescent="0.2">
      <c r="B37" s="155" t="s">
        <v>74</v>
      </c>
      <c r="C37" s="156" t="s">
        <v>129</v>
      </c>
      <c r="D37" s="156"/>
      <c r="E37" s="156"/>
      <c r="F37" s="156"/>
      <c r="G37" s="156"/>
      <c r="H37" s="156"/>
      <c r="I37" s="156"/>
      <c r="K37" s="156" t="s">
        <v>142</v>
      </c>
      <c r="L37" s="156"/>
      <c r="M37" s="156"/>
      <c r="N37" s="169" t="s">
        <v>61</v>
      </c>
      <c r="O37" s="156"/>
      <c r="P37" s="156"/>
      <c r="Q37" s="163"/>
      <c r="R37" s="163"/>
      <c r="S37" s="163"/>
      <c r="T37" s="163"/>
      <c r="U37" s="163"/>
      <c r="V37" s="163"/>
      <c r="W37" s="164"/>
    </row>
    <row r="38" spans="2:23" s="4" customFormat="1" x14ac:dyDescent="0.2">
      <c r="B38" s="155" t="s">
        <v>75</v>
      </c>
      <c r="C38" s="156" t="s">
        <v>130</v>
      </c>
      <c r="D38" s="156"/>
      <c r="E38" s="156"/>
      <c r="F38" s="156"/>
      <c r="G38" s="156"/>
      <c r="H38" s="156"/>
      <c r="I38" s="156"/>
      <c r="K38" s="156" t="s">
        <v>143</v>
      </c>
      <c r="L38" s="156"/>
      <c r="M38" s="156"/>
      <c r="N38" s="169" t="s">
        <v>61</v>
      </c>
      <c r="O38" s="156"/>
      <c r="P38" s="156"/>
      <c r="Q38" s="165"/>
      <c r="R38" s="165"/>
      <c r="S38" s="165"/>
      <c r="T38" s="165"/>
      <c r="U38" s="165"/>
      <c r="V38" s="165"/>
      <c r="W38" s="166"/>
    </row>
    <row r="39" spans="2:23" s="4" customFormat="1" x14ac:dyDescent="0.2">
      <c r="B39" s="155" t="s">
        <v>76</v>
      </c>
      <c r="C39" s="156" t="s">
        <v>90</v>
      </c>
      <c r="D39" s="156"/>
      <c r="E39" s="156"/>
      <c r="F39" s="156"/>
      <c r="G39" s="156"/>
      <c r="H39" s="156"/>
      <c r="I39" s="156"/>
      <c r="K39" s="156" t="s">
        <v>144</v>
      </c>
      <c r="L39" s="156"/>
      <c r="M39" s="156"/>
      <c r="N39" s="169" t="s">
        <v>61</v>
      </c>
      <c r="O39" s="156"/>
      <c r="P39" s="156"/>
      <c r="Q39" s="163"/>
      <c r="R39" s="163"/>
      <c r="S39" s="163"/>
      <c r="T39" s="163"/>
      <c r="U39" s="163"/>
      <c r="V39" s="163"/>
      <c r="W39" s="164"/>
    </row>
    <row r="40" spans="2:23" s="4" customFormat="1" x14ac:dyDescent="0.2">
      <c r="B40" s="155" t="s">
        <v>77</v>
      </c>
      <c r="C40" s="156" t="s">
        <v>91</v>
      </c>
      <c r="D40" s="156"/>
      <c r="E40" s="156"/>
      <c r="F40" s="156"/>
      <c r="G40" s="156"/>
      <c r="H40" s="156"/>
      <c r="I40" s="156"/>
      <c r="K40" s="156" t="s">
        <v>146</v>
      </c>
      <c r="L40" s="156"/>
      <c r="M40" s="156"/>
      <c r="N40" s="169" t="s">
        <v>61</v>
      </c>
      <c r="O40" s="156"/>
      <c r="P40" s="156"/>
      <c r="Q40" s="163"/>
      <c r="R40" s="163"/>
      <c r="S40" s="163"/>
      <c r="T40" s="163"/>
      <c r="U40" s="163"/>
      <c r="V40" s="163"/>
      <c r="W40" s="164"/>
    </row>
    <row r="41" spans="2:23" s="4" customFormat="1" x14ac:dyDescent="0.2">
      <c r="B41" s="155" t="s">
        <v>78</v>
      </c>
      <c r="C41" s="156" t="s">
        <v>92</v>
      </c>
      <c r="D41" s="156"/>
      <c r="E41" s="156"/>
      <c r="F41" s="156"/>
      <c r="G41" s="156"/>
      <c r="H41" s="156"/>
      <c r="I41" s="156"/>
      <c r="K41" s="156"/>
      <c r="L41" s="156"/>
      <c r="M41" s="156"/>
      <c r="N41" s="156"/>
      <c r="O41" s="156"/>
      <c r="P41" s="156"/>
      <c r="Q41" s="163"/>
      <c r="R41" s="163"/>
      <c r="S41" s="163"/>
      <c r="T41" s="163"/>
      <c r="U41" s="163"/>
      <c r="V41" s="163"/>
      <c r="W41" s="164"/>
    </row>
    <row r="42" spans="2:23" s="4" customFormat="1" x14ac:dyDescent="0.2">
      <c r="B42" s="155" t="s">
        <v>79</v>
      </c>
      <c r="C42" s="156" t="s">
        <v>93</v>
      </c>
      <c r="D42" s="156"/>
      <c r="E42" s="156"/>
      <c r="F42" s="156"/>
      <c r="G42" s="156"/>
      <c r="H42" s="156"/>
      <c r="I42" s="156"/>
      <c r="K42" s="156"/>
      <c r="L42" s="156"/>
      <c r="M42" s="156"/>
      <c r="N42" s="156"/>
      <c r="O42" s="156"/>
      <c r="P42" s="156"/>
      <c r="Q42" s="163"/>
      <c r="R42" s="163"/>
      <c r="S42" s="163"/>
      <c r="T42" s="163"/>
      <c r="U42" s="163"/>
      <c r="V42" s="163"/>
      <c r="W42" s="164"/>
    </row>
    <row r="43" spans="2:23" s="4" customFormat="1" ht="12.75" customHeight="1" x14ac:dyDescent="0.2">
      <c r="B43" s="155" t="s">
        <v>80</v>
      </c>
      <c r="C43" s="156" t="s">
        <v>138</v>
      </c>
      <c r="D43" s="156"/>
      <c r="E43" s="156"/>
      <c r="F43" s="156"/>
      <c r="G43" s="156"/>
      <c r="H43" s="156"/>
      <c r="I43" s="156"/>
      <c r="K43" s="156"/>
      <c r="L43" s="156"/>
      <c r="M43" s="156"/>
      <c r="N43" s="156"/>
      <c r="O43" s="156"/>
      <c r="P43" s="156"/>
      <c r="Q43" s="156"/>
      <c r="R43" s="156"/>
      <c r="S43" s="156"/>
      <c r="T43" s="156"/>
      <c r="U43" s="156"/>
      <c r="V43" s="156"/>
      <c r="W43" s="158"/>
    </row>
    <row r="44" spans="2:23" s="4" customFormat="1" x14ac:dyDescent="0.2">
      <c r="B44" s="155" t="s">
        <v>81</v>
      </c>
      <c r="C44" s="156" t="s">
        <v>41</v>
      </c>
      <c r="D44" s="156"/>
      <c r="E44" s="156"/>
      <c r="F44" s="156"/>
      <c r="G44" s="156"/>
      <c r="H44" s="156"/>
      <c r="I44" s="156"/>
      <c r="J44" s="156"/>
      <c r="K44" s="156"/>
      <c r="L44" s="156"/>
      <c r="M44" s="156"/>
      <c r="N44" s="156"/>
      <c r="O44" s="156"/>
      <c r="P44" s="156"/>
      <c r="Q44" s="156"/>
      <c r="R44" s="156"/>
      <c r="S44" s="156"/>
      <c r="T44" s="156"/>
      <c r="U44" s="156"/>
      <c r="V44" s="156"/>
      <c r="W44" s="158"/>
    </row>
    <row r="45" spans="2:23" s="4" customFormat="1" x14ac:dyDescent="0.2">
      <c r="B45" s="155" t="s">
        <v>82</v>
      </c>
      <c r="C45" s="156" t="s">
        <v>100</v>
      </c>
      <c r="D45" s="156"/>
      <c r="E45" s="156"/>
      <c r="F45" s="156"/>
      <c r="G45" s="156"/>
      <c r="H45" s="156"/>
      <c r="I45" s="156"/>
      <c r="J45" s="156"/>
      <c r="K45" s="156"/>
      <c r="L45" s="156"/>
      <c r="M45" s="156"/>
      <c r="N45" s="156"/>
      <c r="O45" s="156"/>
      <c r="P45" s="156"/>
      <c r="Q45" s="156"/>
      <c r="R45" s="156"/>
      <c r="S45" s="156"/>
      <c r="T45" s="156"/>
      <c r="U45" s="156"/>
      <c r="V45" s="156"/>
      <c r="W45" s="158"/>
    </row>
    <row r="46" spans="2:23" s="4" customFormat="1" x14ac:dyDescent="0.2">
      <c r="B46" s="155" t="s">
        <v>149</v>
      </c>
      <c r="C46" s="156"/>
      <c r="D46" s="156"/>
      <c r="E46" s="156"/>
      <c r="F46" s="156"/>
      <c r="G46" s="156"/>
      <c r="H46" s="156"/>
      <c r="I46" s="156"/>
      <c r="J46" s="156"/>
      <c r="K46" s="156"/>
      <c r="L46" s="156"/>
      <c r="M46" s="156"/>
      <c r="N46" s="156"/>
      <c r="O46" s="156"/>
      <c r="P46" s="156"/>
      <c r="Q46" s="156"/>
      <c r="R46" s="156"/>
      <c r="S46" s="156"/>
      <c r="T46" s="156"/>
      <c r="U46" s="156"/>
      <c r="V46" s="156"/>
      <c r="W46" s="158"/>
    </row>
    <row r="47" spans="2:23" s="4" customFormat="1" x14ac:dyDescent="0.2">
      <c r="B47" s="155" t="s">
        <v>150</v>
      </c>
      <c r="C47" s="156"/>
      <c r="D47" s="156"/>
      <c r="E47" s="156"/>
      <c r="F47" s="156"/>
      <c r="G47" s="156"/>
      <c r="H47" s="156"/>
      <c r="I47" s="156"/>
      <c r="J47" s="156"/>
      <c r="K47" s="156"/>
      <c r="L47" s="156"/>
      <c r="M47" s="156"/>
      <c r="N47" s="156"/>
      <c r="O47" s="156"/>
      <c r="P47" s="156"/>
      <c r="Q47" s="156"/>
      <c r="R47" s="156"/>
      <c r="S47" s="156"/>
      <c r="T47" s="156"/>
      <c r="U47" s="156"/>
      <c r="V47" s="156"/>
      <c r="W47" s="158"/>
    </row>
    <row r="48" spans="2:23" s="4" customFormat="1" x14ac:dyDescent="0.2">
      <c r="B48" s="155" t="s">
        <v>83</v>
      </c>
      <c r="C48" s="156" t="s">
        <v>132</v>
      </c>
      <c r="D48" s="156"/>
      <c r="E48" s="156"/>
      <c r="F48" s="156"/>
      <c r="G48" s="156"/>
      <c r="H48" s="156"/>
      <c r="I48" s="156"/>
      <c r="J48" s="156"/>
      <c r="K48" s="156"/>
      <c r="L48" s="156"/>
      <c r="M48" s="156"/>
      <c r="N48" s="156"/>
      <c r="O48" s="156"/>
      <c r="P48" s="156"/>
      <c r="Q48" s="156"/>
      <c r="R48" s="156"/>
      <c r="S48" s="156"/>
      <c r="T48" s="156"/>
      <c r="U48" s="156"/>
      <c r="V48" s="156"/>
      <c r="W48" s="158"/>
    </row>
    <row r="49" spans="2:23" s="4" customFormat="1" x14ac:dyDescent="0.2">
      <c r="B49" s="155" t="s">
        <v>84</v>
      </c>
      <c r="C49" s="156" t="s">
        <v>133</v>
      </c>
      <c r="D49" s="156"/>
      <c r="E49" s="156"/>
      <c r="F49" s="156"/>
      <c r="G49" s="156"/>
      <c r="H49" s="156"/>
      <c r="I49" s="156"/>
      <c r="J49" s="156"/>
      <c r="K49" s="156"/>
      <c r="L49" s="156"/>
      <c r="M49" s="156"/>
      <c r="N49" s="156"/>
      <c r="O49" s="156"/>
      <c r="P49" s="156"/>
      <c r="Q49" s="156"/>
      <c r="R49" s="156"/>
      <c r="S49" s="156"/>
      <c r="T49" s="156"/>
      <c r="U49" s="156"/>
      <c r="V49" s="156"/>
      <c r="W49" s="158"/>
    </row>
    <row r="50" spans="2:23" s="4" customFormat="1" x14ac:dyDescent="0.2">
      <c r="B50" s="155" t="s">
        <v>85</v>
      </c>
      <c r="C50" s="156" t="s">
        <v>131</v>
      </c>
      <c r="D50" s="156"/>
      <c r="E50" s="156"/>
      <c r="F50" s="156"/>
      <c r="G50" s="156"/>
      <c r="H50" s="156"/>
      <c r="I50" s="156"/>
      <c r="J50" s="156"/>
      <c r="K50" s="156"/>
      <c r="L50" s="156"/>
      <c r="M50" s="156"/>
      <c r="N50" s="156"/>
      <c r="O50" s="156"/>
      <c r="P50" s="156"/>
      <c r="Q50" s="156"/>
      <c r="R50" s="156"/>
      <c r="S50" s="156"/>
      <c r="T50" s="156"/>
      <c r="U50" s="156"/>
      <c r="V50" s="156"/>
      <c r="W50" s="158"/>
    </row>
    <row r="51" spans="2:23" s="4" customFormat="1" x14ac:dyDescent="0.2">
      <c r="B51" s="155" t="s">
        <v>86</v>
      </c>
      <c r="C51" s="156" t="s">
        <v>134</v>
      </c>
      <c r="D51" s="156"/>
      <c r="E51" s="156"/>
      <c r="F51" s="156"/>
      <c r="G51" s="156"/>
      <c r="H51" s="156"/>
      <c r="I51" s="156"/>
      <c r="J51" s="156"/>
      <c r="K51" s="156"/>
      <c r="L51" s="156"/>
      <c r="M51" s="156"/>
      <c r="N51" s="156"/>
      <c r="O51" s="156"/>
      <c r="P51" s="156"/>
      <c r="Q51" s="156"/>
      <c r="R51" s="156"/>
      <c r="S51" s="156"/>
      <c r="T51" s="156"/>
      <c r="U51" s="156"/>
      <c r="V51" s="156"/>
      <c r="W51" s="158"/>
    </row>
    <row r="52" spans="2:23" s="4" customFormat="1" x14ac:dyDescent="0.2">
      <c r="B52" s="155" t="s">
        <v>87</v>
      </c>
      <c r="C52" s="156" t="s">
        <v>135</v>
      </c>
      <c r="D52" s="156"/>
      <c r="E52" s="156"/>
      <c r="F52" s="156"/>
      <c r="G52" s="156"/>
      <c r="H52" s="156"/>
      <c r="I52" s="156"/>
      <c r="J52" s="156"/>
      <c r="K52" s="156"/>
      <c r="L52" s="156"/>
      <c r="M52" s="156"/>
      <c r="N52" s="156"/>
      <c r="O52" s="156"/>
      <c r="P52" s="156"/>
      <c r="Q52" s="156"/>
      <c r="R52" s="156"/>
      <c r="S52" s="156"/>
      <c r="T52" s="156"/>
      <c r="U52" s="156"/>
      <c r="V52" s="156"/>
      <c r="W52" s="158"/>
    </row>
    <row r="53" spans="2:23" s="4" customFormat="1" x14ac:dyDescent="0.2">
      <c r="B53" s="155" t="s">
        <v>88</v>
      </c>
      <c r="C53" s="156" t="s">
        <v>136</v>
      </c>
      <c r="D53" s="156"/>
      <c r="E53" s="156"/>
      <c r="F53" s="156"/>
      <c r="G53" s="156"/>
      <c r="H53" s="156"/>
      <c r="I53" s="156"/>
      <c r="J53" s="156"/>
      <c r="K53" s="156"/>
      <c r="L53" s="156"/>
      <c r="M53" s="156"/>
      <c r="N53" s="156"/>
      <c r="O53" s="156"/>
      <c r="P53" s="156"/>
      <c r="Q53" s="156"/>
      <c r="R53" s="156"/>
      <c r="S53" s="156"/>
      <c r="T53" s="156"/>
      <c r="U53" s="156"/>
      <c r="V53" s="156"/>
      <c r="W53" s="158"/>
    </row>
    <row r="54" spans="2:23" s="4" customFormat="1" x14ac:dyDescent="0.2">
      <c r="B54" s="155" t="s">
        <v>89</v>
      </c>
      <c r="C54" s="156" t="s">
        <v>154</v>
      </c>
      <c r="D54" s="156"/>
      <c r="E54" s="156"/>
      <c r="F54" s="156"/>
      <c r="G54" s="156"/>
      <c r="H54" s="156"/>
      <c r="I54" s="156"/>
      <c r="J54" s="156"/>
      <c r="K54" s="156"/>
      <c r="L54" s="156"/>
      <c r="M54" s="156"/>
      <c r="N54" s="156"/>
      <c r="O54" s="156"/>
      <c r="P54" s="156"/>
      <c r="Q54" s="156"/>
      <c r="R54" s="156"/>
      <c r="S54" s="156"/>
      <c r="T54" s="156"/>
      <c r="U54" s="156"/>
      <c r="V54" s="156"/>
      <c r="W54" s="158"/>
    </row>
    <row r="55" spans="2:23" s="4" customFormat="1" x14ac:dyDescent="0.2">
      <c r="B55" s="155" t="s">
        <v>95</v>
      </c>
      <c r="C55" s="156" t="s">
        <v>154</v>
      </c>
      <c r="D55" s="156"/>
      <c r="E55" s="156"/>
      <c r="F55" s="156"/>
      <c r="G55" s="156"/>
      <c r="H55" s="156"/>
      <c r="I55" s="156"/>
      <c r="J55" s="156"/>
      <c r="K55" s="156"/>
      <c r="L55" s="156"/>
      <c r="M55" s="156"/>
      <c r="N55" s="156"/>
      <c r="O55" s="156"/>
      <c r="P55" s="156"/>
      <c r="Q55" s="156"/>
      <c r="R55" s="156"/>
      <c r="S55" s="156"/>
      <c r="T55" s="156"/>
      <c r="U55" s="156"/>
      <c r="V55" s="156"/>
      <c r="W55" s="158"/>
    </row>
    <row r="56" spans="2:23" s="4" customFormat="1" ht="13.5" thickBot="1" x14ac:dyDescent="0.25">
      <c r="B56" s="159" t="s">
        <v>137</v>
      </c>
      <c r="C56" s="160" t="s">
        <v>108</v>
      </c>
      <c r="D56" s="160"/>
      <c r="E56" s="160"/>
      <c r="F56" s="160"/>
      <c r="G56" s="160"/>
      <c r="H56" s="160"/>
      <c r="I56" s="160"/>
      <c r="J56" s="160"/>
      <c r="K56" s="160"/>
      <c r="L56" s="160"/>
      <c r="M56" s="160"/>
      <c r="N56" s="160"/>
      <c r="O56" s="160"/>
      <c r="P56" s="160"/>
      <c r="Q56" s="160"/>
      <c r="R56" s="160"/>
      <c r="S56" s="160"/>
      <c r="T56" s="160"/>
      <c r="U56" s="160"/>
      <c r="V56" s="160"/>
      <c r="W56" s="161"/>
    </row>
    <row r="57" spans="2:23" s="4" customFormat="1" x14ac:dyDescent="0.2">
      <c r="I57" s="126"/>
      <c r="J57" s="126"/>
    </row>
    <row r="58" spans="2:23" s="4" customFormat="1" x14ac:dyDescent="0.2">
      <c r="J58" s="126"/>
      <c r="K58" s="126"/>
    </row>
    <row r="59" spans="2:23" s="4" customFormat="1" x14ac:dyDescent="0.2">
      <c r="J59" s="126"/>
      <c r="K59" s="126"/>
    </row>
    <row r="60" spans="2:23" s="4" customFormat="1" x14ac:dyDescent="0.2">
      <c r="J60" s="126"/>
      <c r="K60" s="126"/>
    </row>
    <row r="61" spans="2:23" s="4" customFormat="1" x14ac:dyDescent="0.2">
      <c r="J61" s="126"/>
      <c r="K61" s="126"/>
    </row>
    <row r="62" spans="2:23" s="4" customFormat="1" x14ac:dyDescent="0.2">
      <c r="J62" s="126"/>
      <c r="K62" s="126"/>
    </row>
    <row r="63" spans="2:23" s="4" customFormat="1" x14ac:dyDescent="0.2">
      <c r="J63" s="126"/>
      <c r="K63" s="126"/>
    </row>
    <row r="64" spans="2:23" s="4" customFormat="1" x14ac:dyDescent="0.2">
      <c r="J64" s="126"/>
      <c r="K64" s="126"/>
    </row>
    <row r="65" spans="10:11" s="4" customFormat="1" x14ac:dyDescent="0.2">
      <c r="J65" s="126"/>
      <c r="K65" s="126"/>
    </row>
    <row r="66" spans="10:11" s="4" customFormat="1" x14ac:dyDescent="0.2">
      <c r="J66" s="126"/>
      <c r="K66" s="126"/>
    </row>
    <row r="67" spans="10:11" s="4" customFormat="1" x14ac:dyDescent="0.2">
      <c r="J67" s="126"/>
      <c r="K67" s="126"/>
    </row>
    <row r="68" spans="10:11" s="4" customFormat="1" x14ac:dyDescent="0.2">
      <c r="J68" s="126"/>
      <c r="K68" s="126"/>
    </row>
    <row r="69" spans="10:11" s="4" customFormat="1" x14ac:dyDescent="0.2">
      <c r="J69" s="126"/>
      <c r="K69" s="126"/>
    </row>
    <row r="70" spans="10:11" s="4" customFormat="1" x14ac:dyDescent="0.2">
      <c r="J70" s="126"/>
      <c r="K70" s="126"/>
    </row>
    <row r="71" spans="10:11" s="4" customFormat="1" x14ac:dyDescent="0.2">
      <c r="J71" s="126"/>
      <c r="K71" s="126"/>
    </row>
    <row r="72" spans="10:11" s="4" customFormat="1" x14ac:dyDescent="0.2">
      <c r="J72" s="126"/>
      <c r="K72" s="126"/>
    </row>
    <row r="73" spans="10:11" s="4" customFormat="1" x14ac:dyDescent="0.2">
      <c r="J73" s="126"/>
      <c r="K73" s="126"/>
    </row>
    <row r="74" spans="10:11" s="4" customFormat="1" x14ac:dyDescent="0.2">
      <c r="J74" s="126"/>
      <c r="K74" s="126"/>
    </row>
    <row r="75" spans="10:11" s="4" customFormat="1" x14ac:dyDescent="0.2">
      <c r="J75" s="126"/>
      <c r="K75" s="126"/>
    </row>
    <row r="76" spans="10:11" s="4" customFormat="1" x14ac:dyDescent="0.2">
      <c r="J76" s="126"/>
      <c r="K76" s="126"/>
    </row>
    <row r="77" spans="10:11" s="4" customFormat="1" x14ac:dyDescent="0.2">
      <c r="J77" s="126"/>
      <c r="K77" s="126"/>
    </row>
    <row r="78" spans="10:11" s="4" customFormat="1" x14ac:dyDescent="0.2">
      <c r="J78" s="126"/>
      <c r="K78" s="126"/>
    </row>
    <row r="79" spans="10:11" s="4" customFormat="1" x14ac:dyDescent="0.2">
      <c r="J79" s="126"/>
      <c r="K79" s="126"/>
    </row>
    <row r="80" spans="10:11" s="4" customFormat="1" x14ac:dyDescent="0.2">
      <c r="J80" s="126"/>
      <c r="K80" s="126"/>
    </row>
    <row r="81" spans="10:11" s="4" customFormat="1" x14ac:dyDescent="0.2">
      <c r="J81" s="126"/>
      <c r="K81" s="126"/>
    </row>
    <row r="82" spans="10:11" s="4" customFormat="1" x14ac:dyDescent="0.2">
      <c r="J82" s="126"/>
      <c r="K82" s="126"/>
    </row>
    <row r="83" spans="10:11" s="4" customFormat="1" x14ac:dyDescent="0.2">
      <c r="J83" s="126"/>
      <c r="K83" s="126"/>
    </row>
    <row r="84" spans="10:11" s="4" customFormat="1" x14ac:dyDescent="0.2">
      <c r="J84" s="126"/>
      <c r="K84" s="126"/>
    </row>
    <row r="85" spans="10:11" s="4" customFormat="1" x14ac:dyDescent="0.2">
      <c r="J85" s="126"/>
      <c r="K85" s="126"/>
    </row>
    <row r="86" spans="10:11" s="4" customFormat="1" x14ac:dyDescent="0.2">
      <c r="J86" s="126"/>
      <c r="K86" s="126"/>
    </row>
    <row r="87" spans="10:11" s="4" customFormat="1" x14ac:dyDescent="0.2">
      <c r="J87" s="126"/>
      <c r="K87" s="126"/>
    </row>
    <row r="88" spans="10:11" s="4" customFormat="1" x14ac:dyDescent="0.2">
      <c r="J88" s="126"/>
      <c r="K88" s="126"/>
    </row>
    <row r="89" spans="10:11" s="4" customFormat="1" x14ac:dyDescent="0.2">
      <c r="J89" s="126"/>
      <c r="K89" s="126"/>
    </row>
    <row r="90" spans="10:11" s="4" customFormat="1" x14ac:dyDescent="0.2">
      <c r="J90" s="126"/>
      <c r="K90" s="126"/>
    </row>
    <row r="91" spans="10:11" s="4" customFormat="1" x14ac:dyDescent="0.2">
      <c r="J91" s="126"/>
      <c r="K91" s="126"/>
    </row>
    <row r="92" spans="10:11" s="4" customFormat="1" x14ac:dyDescent="0.2">
      <c r="J92" s="126"/>
      <c r="K92" s="126"/>
    </row>
    <row r="93" spans="10:11" s="4" customFormat="1" x14ac:dyDescent="0.2">
      <c r="J93" s="126"/>
      <c r="K93" s="126"/>
    </row>
    <row r="94" spans="10:11" s="4" customFormat="1" x14ac:dyDescent="0.2">
      <c r="J94" s="126"/>
      <c r="K94" s="126"/>
    </row>
    <row r="95" spans="10:11" s="4" customFormat="1" x14ac:dyDescent="0.2">
      <c r="J95" s="126"/>
      <c r="K95" s="126"/>
    </row>
    <row r="96" spans="10:11" s="4" customFormat="1" x14ac:dyDescent="0.2">
      <c r="J96" s="126"/>
      <c r="K96" s="126"/>
    </row>
    <row r="97" spans="10:11" s="4" customFormat="1" x14ac:dyDescent="0.2">
      <c r="J97" s="126"/>
      <c r="K97" s="126"/>
    </row>
    <row r="98" spans="10:11" s="4" customFormat="1" x14ac:dyDescent="0.2">
      <c r="J98" s="126"/>
      <c r="K98" s="126"/>
    </row>
    <row r="99" spans="10:11" s="4" customFormat="1" x14ac:dyDescent="0.2">
      <c r="J99" s="126"/>
      <c r="K99" s="126"/>
    </row>
    <row r="100" spans="10:11" s="4" customFormat="1" x14ac:dyDescent="0.2">
      <c r="J100" s="126"/>
      <c r="K100" s="126"/>
    </row>
    <row r="101" spans="10:11" s="4" customFormat="1" x14ac:dyDescent="0.2">
      <c r="J101" s="126"/>
      <c r="K101" s="126"/>
    </row>
    <row r="102" spans="10:11" s="4" customFormat="1" x14ac:dyDescent="0.2">
      <c r="J102" s="126"/>
      <c r="K102" s="126"/>
    </row>
    <row r="103" spans="10:11" s="4" customFormat="1" x14ac:dyDescent="0.2">
      <c r="J103" s="126"/>
      <c r="K103" s="126"/>
    </row>
    <row r="104" spans="10:11" s="4" customFormat="1" x14ac:dyDescent="0.2">
      <c r="J104" s="126"/>
      <c r="K104" s="126"/>
    </row>
    <row r="105" spans="10:11" s="4" customFormat="1" x14ac:dyDescent="0.2">
      <c r="J105" s="126"/>
      <c r="K105" s="126"/>
    </row>
    <row r="106" spans="10:11" s="4" customFormat="1" x14ac:dyDescent="0.2">
      <c r="J106" s="126"/>
      <c r="K106" s="126"/>
    </row>
    <row r="107" spans="10:11" s="4" customFormat="1" x14ac:dyDescent="0.2">
      <c r="J107" s="126"/>
      <c r="K107" s="126"/>
    </row>
    <row r="108" spans="10:11" s="4" customFormat="1" x14ac:dyDescent="0.2">
      <c r="J108" s="126"/>
      <c r="K108" s="126"/>
    </row>
    <row r="109" spans="10:11" s="4" customFormat="1" x14ac:dyDescent="0.2">
      <c r="J109" s="126"/>
      <c r="K109" s="126"/>
    </row>
    <row r="110" spans="10:11" s="4" customFormat="1" x14ac:dyDescent="0.2">
      <c r="J110" s="126"/>
      <c r="K110" s="126"/>
    </row>
    <row r="111" spans="10:11" s="4" customFormat="1" x14ac:dyDescent="0.2">
      <c r="J111" s="126"/>
      <c r="K111" s="126"/>
    </row>
    <row r="112" spans="10:11" s="4" customFormat="1" x14ac:dyDescent="0.2">
      <c r="J112" s="126"/>
      <c r="K112" s="126"/>
    </row>
    <row r="113" spans="10:11" s="4" customFormat="1" x14ac:dyDescent="0.2">
      <c r="J113" s="126"/>
      <c r="K113" s="126"/>
    </row>
    <row r="114" spans="10:11" s="4" customFormat="1" x14ac:dyDescent="0.2">
      <c r="J114" s="126"/>
      <c r="K114" s="126"/>
    </row>
    <row r="115" spans="10:11" s="4" customFormat="1" x14ac:dyDescent="0.2">
      <c r="J115" s="126"/>
      <c r="K115" s="126"/>
    </row>
    <row r="116" spans="10:11" s="4" customFormat="1" x14ac:dyDescent="0.2">
      <c r="J116" s="126"/>
      <c r="K116" s="126"/>
    </row>
    <row r="117" spans="10:11" s="4" customFormat="1" x14ac:dyDescent="0.2">
      <c r="J117" s="126"/>
      <c r="K117" s="126"/>
    </row>
    <row r="118" spans="10:11" s="4" customFormat="1" x14ac:dyDescent="0.2">
      <c r="J118" s="126"/>
      <c r="K118" s="126"/>
    </row>
    <row r="119" spans="10:11" s="4" customFormat="1" x14ac:dyDescent="0.2">
      <c r="J119" s="126"/>
      <c r="K119" s="126"/>
    </row>
    <row r="120" spans="10:11" s="4" customFormat="1" x14ac:dyDescent="0.2">
      <c r="J120" s="126"/>
      <c r="K120" s="126"/>
    </row>
    <row r="121" spans="10:11" s="4" customFormat="1" x14ac:dyDescent="0.2">
      <c r="J121" s="126"/>
      <c r="K121" s="126"/>
    </row>
    <row r="122" spans="10:11" s="4" customFormat="1" x14ac:dyDescent="0.2">
      <c r="J122" s="126"/>
      <c r="K122" s="126"/>
    </row>
    <row r="123" spans="10:11" s="4" customFormat="1" x14ac:dyDescent="0.2">
      <c r="J123" s="126"/>
      <c r="K123" s="126"/>
    </row>
    <row r="124" spans="10:11" s="4" customFormat="1" x14ac:dyDescent="0.2">
      <c r="J124" s="126"/>
      <c r="K124" s="126"/>
    </row>
    <row r="125" spans="10:11" s="4" customFormat="1" x14ac:dyDescent="0.2">
      <c r="J125" s="126"/>
      <c r="K125" s="126"/>
    </row>
    <row r="126" spans="10:11" s="4" customFormat="1" x14ac:dyDescent="0.2">
      <c r="J126" s="126"/>
      <c r="K126" s="126"/>
    </row>
    <row r="127" spans="10:11" s="4" customFormat="1" x14ac:dyDescent="0.2">
      <c r="J127" s="126"/>
      <c r="K127" s="126"/>
    </row>
    <row r="128" spans="10:11" s="4" customFormat="1" x14ac:dyDescent="0.2">
      <c r="J128" s="126"/>
      <c r="K128" s="126"/>
    </row>
    <row r="129" spans="10:11" s="4" customFormat="1" x14ac:dyDescent="0.2">
      <c r="J129" s="126"/>
      <c r="K129" s="126"/>
    </row>
    <row r="130" spans="10:11" s="4" customFormat="1" x14ac:dyDescent="0.2">
      <c r="J130" s="126"/>
      <c r="K130" s="126"/>
    </row>
    <row r="131" spans="10:11" s="4" customFormat="1" x14ac:dyDescent="0.2">
      <c r="J131" s="126"/>
      <c r="K131" s="126"/>
    </row>
    <row r="132" spans="10:11" s="4" customFormat="1" x14ac:dyDescent="0.2">
      <c r="J132" s="126"/>
      <c r="K132" s="126"/>
    </row>
    <row r="133" spans="10:11" s="4" customFormat="1" x14ac:dyDescent="0.2">
      <c r="J133" s="126"/>
      <c r="K133" s="126"/>
    </row>
    <row r="134" spans="10:11" s="4" customFormat="1" x14ac:dyDescent="0.2">
      <c r="J134" s="126"/>
      <c r="K134" s="126"/>
    </row>
    <row r="135" spans="10:11" s="4" customFormat="1" x14ac:dyDescent="0.2">
      <c r="J135" s="126"/>
      <c r="K135" s="126"/>
    </row>
    <row r="136" spans="10:11" s="4" customFormat="1" x14ac:dyDescent="0.2">
      <c r="J136" s="126"/>
      <c r="K136" s="126"/>
    </row>
    <row r="137" spans="10:11" s="4" customFormat="1" x14ac:dyDescent="0.2">
      <c r="J137" s="126"/>
      <c r="K137" s="126"/>
    </row>
    <row r="138" spans="10:11" s="4" customFormat="1" x14ac:dyDescent="0.2">
      <c r="J138" s="126"/>
      <c r="K138" s="126"/>
    </row>
    <row r="139" spans="10:11" s="4" customFormat="1" x14ac:dyDescent="0.2">
      <c r="J139" s="126"/>
      <c r="K139" s="126"/>
    </row>
    <row r="140" spans="10:11" s="4" customFormat="1" x14ac:dyDescent="0.2">
      <c r="J140" s="126"/>
      <c r="K140" s="126"/>
    </row>
    <row r="141" spans="10:11" s="4" customFormat="1" x14ac:dyDescent="0.2">
      <c r="J141" s="126"/>
      <c r="K141" s="126"/>
    </row>
    <row r="142" spans="10:11" s="4" customFormat="1" x14ac:dyDescent="0.2">
      <c r="J142" s="126"/>
      <c r="K142" s="126"/>
    </row>
    <row r="143" spans="10:11" s="4" customFormat="1" x14ac:dyDescent="0.2">
      <c r="J143" s="126"/>
      <c r="K143" s="126"/>
    </row>
    <row r="144" spans="10:11" s="4" customFormat="1" x14ac:dyDescent="0.2">
      <c r="J144" s="126"/>
      <c r="K144" s="126"/>
    </row>
    <row r="145" spans="10:11" s="4" customFormat="1" x14ac:dyDescent="0.2">
      <c r="J145" s="126"/>
      <c r="K145" s="126"/>
    </row>
    <row r="146" spans="10:11" s="4" customFormat="1" x14ac:dyDescent="0.2">
      <c r="J146" s="126"/>
      <c r="K146" s="126"/>
    </row>
    <row r="147" spans="10:11" s="4" customFormat="1" x14ac:dyDescent="0.2">
      <c r="J147" s="126"/>
      <c r="K147" s="126"/>
    </row>
    <row r="148" spans="10:11" s="4" customFormat="1" x14ac:dyDescent="0.2">
      <c r="J148" s="126"/>
      <c r="K148" s="126"/>
    </row>
    <row r="149" spans="10:11" s="4" customFormat="1" x14ac:dyDescent="0.2">
      <c r="J149" s="126"/>
      <c r="K149" s="126"/>
    </row>
    <row r="150" spans="10:11" s="4" customFormat="1" x14ac:dyDescent="0.2">
      <c r="J150" s="126"/>
      <c r="K150" s="126"/>
    </row>
    <row r="151" spans="10:11" s="4" customFormat="1" x14ac:dyDescent="0.2">
      <c r="J151" s="126"/>
      <c r="K151" s="126"/>
    </row>
    <row r="152" spans="10:11" s="4" customFormat="1" x14ac:dyDescent="0.2">
      <c r="J152" s="126"/>
      <c r="K152" s="126"/>
    </row>
    <row r="153" spans="10:11" s="4" customFormat="1" x14ac:dyDescent="0.2">
      <c r="J153" s="126"/>
      <c r="K153" s="126"/>
    </row>
    <row r="154" spans="10:11" s="4" customFormat="1" x14ac:dyDescent="0.2">
      <c r="J154" s="126"/>
      <c r="K154" s="126"/>
    </row>
    <row r="155" spans="10:11" s="4" customFormat="1" x14ac:dyDescent="0.2">
      <c r="J155" s="126"/>
      <c r="K155" s="126"/>
    </row>
    <row r="156" spans="10:11" s="4" customFormat="1" x14ac:dyDescent="0.2">
      <c r="J156" s="126"/>
      <c r="K156" s="126"/>
    </row>
    <row r="157" spans="10:11" s="4" customFormat="1" x14ac:dyDescent="0.2">
      <c r="J157" s="126"/>
      <c r="K157" s="126"/>
    </row>
    <row r="158" spans="10:11" s="4" customFormat="1" x14ac:dyDescent="0.2">
      <c r="J158" s="126"/>
      <c r="K158" s="126"/>
    </row>
    <row r="159" spans="10:11" s="4" customFormat="1" x14ac:dyDescent="0.2">
      <c r="J159" s="126"/>
      <c r="K159" s="126"/>
    </row>
    <row r="160" spans="10:11" s="4" customFormat="1" x14ac:dyDescent="0.2">
      <c r="J160" s="126"/>
      <c r="K160" s="126"/>
    </row>
  </sheetData>
  <sheetProtection algorithmName="SHA-512" hashValue="IagCBGlCcQK7YZ6LJabGoDBbXrhPkDi+QFfewY0dlNYTd/lwF4aAMZQqYslUFBesCdZL5tARpqv3Y46+039R8w==" saltValue="idVwH83MEpuCpQxfU4fqDQ==" spinCount="100000" sheet="1" objects="1" scenarios="1"/>
  <mergeCells count="5">
    <mergeCell ref="R10:T10"/>
    <mergeCell ref="E1:W1"/>
    <mergeCell ref="O8:Q8"/>
    <mergeCell ref="C3:W4"/>
    <mergeCell ref="C6:W6"/>
  </mergeCells>
  <conditionalFormatting sqref="T12:T28">
    <cfRule type="cellIs" dxfId="1" priority="1" stopIfTrue="1" operator="equal">
      <formula>0</formula>
    </cfRule>
  </conditionalFormatting>
  <hyperlinks>
    <hyperlink ref="D3:P4" r:id="rId1" display="mailto:sales@solray.co.uk?subject=Enquiry" xr:uid="{00000000-0004-0000-0200-000000000000}"/>
  </hyperlinks>
  <printOptions horizontalCentered="1" verticalCentered="1"/>
  <pageMargins left="0.15748031496062992" right="0.15748031496062992" top="0.74803149606299213" bottom="0.74803149606299213" header="0.31496062992125984" footer="0.31496062992125984"/>
  <pageSetup paperSize="9" scale="50" fitToWidth="2" orientation="landscape" r:id="rId2"/>
  <ignoredErrors>
    <ignoredError sqref="J12:K17 O13:Q13 L12:M17 O18:P28 J18:M28 O12 Q12 W12 O17:Q17 O14:P14 Q14 O15:O16 Q15:Q16 P15:P16" unlockedFormula="1"/>
    <ignoredError sqref="P12" formulaRange="1" unlocked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M36"/>
  <sheetViews>
    <sheetView workbookViewId="0"/>
  </sheetViews>
  <sheetFormatPr defaultRowHeight="12.75" x14ac:dyDescent="0.2"/>
  <sheetData>
    <row r="2" spans="2:13" ht="13.5" thickBot="1" x14ac:dyDescent="0.25">
      <c r="B2" s="12"/>
      <c r="C2" s="12"/>
      <c r="D2" s="12"/>
      <c r="E2" s="12"/>
      <c r="F2" s="12"/>
      <c r="G2" s="12"/>
      <c r="H2" s="12"/>
      <c r="I2" s="12"/>
      <c r="J2" s="12"/>
      <c r="K2" s="12"/>
      <c r="L2" s="12"/>
      <c r="M2" s="12"/>
    </row>
    <row r="3" spans="2:13" x14ac:dyDescent="0.2">
      <c r="B3" s="83" t="str">
        <f ca="1">"Mean "&amp;IF(LEFT('Panel Emissions'!H29)="Y","Face","Water")</f>
        <v>Mean Water</v>
      </c>
      <c r="C3" s="84" t="s">
        <v>8</v>
      </c>
      <c r="D3" s="85"/>
      <c r="E3" s="85"/>
      <c r="F3" s="85"/>
      <c r="G3" s="85"/>
      <c r="H3" s="86"/>
      <c r="I3" s="87"/>
      <c r="J3" s="12"/>
      <c r="K3" s="12"/>
      <c r="L3" s="12"/>
      <c r="M3" s="12"/>
    </row>
    <row r="4" spans="2:13" x14ac:dyDescent="0.2">
      <c r="B4" s="88" t="s">
        <v>7</v>
      </c>
      <c r="C4" s="101" t="s">
        <v>9</v>
      </c>
      <c r="D4" s="102"/>
      <c r="E4" s="102"/>
      <c r="F4" s="102"/>
      <c r="G4" s="102"/>
      <c r="H4" s="102"/>
      <c r="I4" s="102"/>
      <c r="J4" s="12"/>
      <c r="K4" s="12"/>
      <c r="L4" s="12"/>
      <c r="M4" s="12"/>
    </row>
    <row r="5" spans="2:13" x14ac:dyDescent="0.2">
      <c r="B5" s="89" t="s">
        <v>0</v>
      </c>
      <c r="C5" s="103">
        <f>'Panel Emissions'!C25</f>
        <v>16</v>
      </c>
      <c r="D5" s="103">
        <f>'Panel Emissions'!D25</f>
        <v>17</v>
      </c>
      <c r="E5" s="103">
        <f>'Panel Emissions'!E25</f>
        <v>18</v>
      </c>
      <c r="F5" s="103">
        <f>'Panel Emissions'!F25</f>
        <v>19</v>
      </c>
      <c r="G5" s="103">
        <f>'Panel Emissions'!G25</f>
        <v>20</v>
      </c>
      <c r="H5" s="103">
        <f>'Panel Emissions'!H25</f>
        <v>21</v>
      </c>
      <c r="I5" s="103">
        <f>'Panel Emissions'!I25</f>
        <v>25</v>
      </c>
      <c r="J5" s="12"/>
      <c r="K5" s="12"/>
      <c r="L5" s="12"/>
      <c r="M5" s="12"/>
    </row>
    <row r="6" spans="2:13" x14ac:dyDescent="0.2">
      <c r="B6" s="90">
        <f>'Panel Emissions'!B26</f>
        <v>60</v>
      </c>
      <c r="C6" s="25">
        <f ca="1">IF('Panel Emissions'!$B26-'Panel Emissions'!C$25&lt;=0,-1,1)*(ABS(IF(OR(Mat=AnAli,Mat=StSt),0.5,0.85)*5.67/10^8*((IF(OR(Medium=Electric,Medium=DblTube),'Panel Emissions'!$B26,(50*'Panel Emissions'!$B26+6*'Panel Emissions'!C$25)/56)+273)^4-('Panel Emissions'!C$25+273)^4))+2.5*ABS(IF(OR(Medium=Electric,Medium=DblTube),'Panel Emissions'!$B26,(50*'Panel Emissions'!$B26+6*'Panel Emissions'!C$25)/56)-'Panel Emissions'!C$25)^1.25*IF(Angle*('Panel Emissions'!$B26-'Panel Emissions'!C$25)&lt;=0,(1+IF('Panel Emissions'!$B26-'Panel Emissions'!C$25&gt;=0,IF(Angle&lt;0,20%,IF(Mounting=0,IF(Width&lt;301,20%,IF(Width&lt;601,10%,0)),0)),IF(Angle&gt;0,20%,0))-20%),0.3*COS(Angle*PI()/180)+0.5)*1.1*(1+GapEx))*(1-HeightDerate)*IF(OR(Mat=PerfSt,Mat=PerfAli),80%,100%)*IF(EmissionsBasis=OFFSET(EmissionsByArea,0,-1),1,IF(EmissionsBasis=OFFSET(EmissionsByLength,0,-1),('Panel Emissions'!$C$14/1000),"?"))</f>
        <v>358.81091182752527</v>
      </c>
      <c r="D6" s="91">
        <f ca="1">IF('Panel Emissions'!$B26-'Panel Emissions'!D$25&lt;=0,-1,1)*(ABS(IF(OR(Mat=AnAli,Mat=StSt),0.5,0.85)*5.67/10^8*((IF(OR(Medium=Electric,Medium=DblTube),'Panel Emissions'!$B26,(50*'Panel Emissions'!$B26+6*'Panel Emissions'!D$25)/56)+273)^4-('Panel Emissions'!D$25+273)^4))+2.5*ABS(IF(OR(Medium=Electric,Medium=DblTube),'Panel Emissions'!$B26,(50*'Panel Emissions'!$B26+6*'Panel Emissions'!D$25)/56)-'Panel Emissions'!D$25)^1.25*IF(Angle*('Panel Emissions'!$B26-'Panel Emissions'!D$25)&lt;=0,(1+IF('Panel Emissions'!$B26-'Panel Emissions'!D$25&gt;=0,IF(Angle&lt;0,20%,IF(Mounting=0,IF(Width&lt;301,20%,IF(Width&lt;601,10%,0)),0)),IF(Angle&gt;0,20%,0))-20%),0.3*COS(Angle*PI()/180)+0.5)*1.1*(1+GapEx))*(1-HeightDerate)*IF(OR(Mat=PerfSt,Mat=PerfAli),80%,100%)*IF(EmissionsBasis=OFFSET(EmissionsByArea,0,-1),1,IF(EmissionsBasis=OFFSET(EmissionsByLength,0,-1),('Panel Emissions'!$C$14/1000),"?"))</f>
        <v>351.03360509509855</v>
      </c>
      <c r="E6" s="92">
        <f ca="1">IF('Panel Emissions'!$B26-'Panel Emissions'!E$25&lt;=0,-1,1)*(ABS(IF(OR(Mat=AnAli,Mat=StSt),0.5,0.85)*5.67/10^8*((IF(OR(Medium=Electric,Medium=DblTube),'Panel Emissions'!$B26,(50*'Panel Emissions'!$B26+6*'Panel Emissions'!E$25)/56)+273)^4-('Panel Emissions'!E$25+273)^4))+2.5*ABS(IF(OR(Medium=Electric,Medium=DblTube),'Panel Emissions'!$B26,(50*'Panel Emissions'!$B26+6*'Panel Emissions'!E$25)/56)-'Panel Emissions'!E$25)^1.25*IF(Angle*('Panel Emissions'!$B26-'Panel Emissions'!E$25)&lt;=0,(1+IF('Panel Emissions'!$B26-'Panel Emissions'!E$25&gt;=0,IF(Angle&lt;0,20%,IF(Mounting=0,IF(Width&lt;301,20%,IF(Width&lt;601,10%,0)),0)),IF(Angle&gt;0,20%,0))-20%),0.3*COS(Angle*PI()/180)+0.5)*1.1*(1+GapEx))*(1-HeightDerate)*IF(OR(Mat=PerfSt,Mat=PerfAli),80%,100%)*IF(EmissionsBasis=OFFSET(EmissionsByArea,0,-1),1,IF(EmissionsBasis=OFFSET(EmissionsByLength,0,-1),('Panel Emissions'!$C$14/1000),"?"))</f>
        <v>343.23058615211113</v>
      </c>
      <c r="F6" s="93">
        <f ca="1">IF('Panel Emissions'!$B26-'Panel Emissions'!F$25&lt;=0,-1,1)*(ABS(IF(OR(Mat=AnAli,Mat=StSt),0.5,0.85)*5.67/10^8*((IF(OR(Medium=Electric,Medium=DblTube),'Panel Emissions'!$B26,(50*'Panel Emissions'!$B26+6*'Panel Emissions'!F$25)/56)+273)^4-('Panel Emissions'!F$25+273)^4))+2.5*ABS(IF(OR(Medium=Electric,Medium=DblTube),'Panel Emissions'!$B26,(50*'Panel Emissions'!$B26+6*'Panel Emissions'!F$25)/56)-'Panel Emissions'!F$25)^1.25*IF(Angle*('Panel Emissions'!$B26-'Panel Emissions'!F$25)&lt;=0,(1+IF('Panel Emissions'!$B26-'Panel Emissions'!F$25&gt;=0,IF(Angle&lt;0,20%,IF(Mounting=0,IF(Width&lt;301,20%,IF(Width&lt;601,10%,0)),0)),IF(Angle&gt;0,20%,0))-20%),0.3*COS(Angle*PI()/180)+0.5)*1.1*(1+GapEx))*(1-HeightDerate)*IF(OR(Mat=PerfSt,Mat=PerfAli),80%,100%)*IF(EmissionsBasis=OFFSET(EmissionsByArea,0,-1),1,IF(EmissionsBasis=OFFSET(EmissionsByLength,0,-1),('Panel Emissions'!$C$14/1000),"?"))</f>
        <v>335.40191495851826</v>
      </c>
      <c r="G6" s="93">
        <f ca="1">IF('Panel Emissions'!$B26-'Panel Emissions'!G$25&lt;=0,-1,1)*(ABS(IF(OR(Mat=AnAli,Mat=StSt),0.5,0.85)*5.67/10^8*((IF(OR(Medium=Electric,Medium=DblTube),'Panel Emissions'!$B26,(50*'Panel Emissions'!$B26+6*'Panel Emissions'!G$25)/56)+273)^4-('Panel Emissions'!G$25+273)^4))+2.5*ABS(IF(OR(Medium=Electric,Medium=DblTube),'Panel Emissions'!$B26,(50*'Panel Emissions'!$B26+6*'Panel Emissions'!G$25)/56)-'Panel Emissions'!G$25)^1.25*IF(Angle*('Panel Emissions'!$B26-'Panel Emissions'!G$25)&lt;=0,(1+IF('Panel Emissions'!$B26-'Panel Emissions'!G$25&gt;=0,IF(Angle&lt;0,20%,IF(Mounting=0,IF(Width&lt;301,20%,IF(Width&lt;601,10%,0)),0)),IF(Angle&gt;0,20%,0))-20%),0.3*COS(Angle*PI()/180)+0.5)*1.1*(1+GapEx))*(1-HeightDerate)*IF(OR(Mat=PerfSt,Mat=PerfAli),80%,100%)*IF(EmissionsBasis=OFFSET(EmissionsByArea,0,-1),1,IF(EmissionsBasis=OFFSET(EmissionsByLength,0,-1),('Panel Emissions'!$C$14/1000),"?"))</f>
        <v>327.54766715291339</v>
      </c>
      <c r="H6" s="94">
        <f ca="1">IF('Panel Emissions'!$B26-'Panel Emissions'!H$25&lt;=0,-1,1)*(ABS(IF(OR(Mat=AnAli,Mat=StSt),0.5,0.85)*5.67/10^8*((IF(OR(Medium=Electric,Medium=DblTube),'Panel Emissions'!$B26,(50*'Panel Emissions'!$B26+6*'Panel Emissions'!H$25)/56)+273)^4-('Panel Emissions'!H$25+273)^4))+2.5*ABS(IF(OR(Medium=Electric,Medium=DblTube),'Panel Emissions'!$B26,(50*'Panel Emissions'!$B26+6*'Panel Emissions'!H$25)/56)-'Panel Emissions'!H$25)^1.25*IF(Angle*('Panel Emissions'!$B26-'Panel Emissions'!H$25)&lt;=0,(1+IF('Panel Emissions'!$B26-'Panel Emissions'!H$25&gt;=0,IF(Angle&lt;0,20%,IF(Mounting=0,IF(Width&lt;301,20%,IF(Width&lt;601,10%,0)),0)),IF(Angle&gt;0,20%,0))-20%),0.3*COS(Angle*PI()/180)+0.5)*1.1*(1+GapEx))*(1-HeightDerate)*IF(OR(Mat=PerfSt,Mat=PerfAli),80%,100%)*IF(EmissionsBasis=OFFSET(EmissionsByArea,0,-1),1,IF(EmissionsBasis=OFFSET(EmissionsByLength,0,-1),('Panel Emissions'!$C$14/1000),"?"))</f>
        <v>319.66793520682711</v>
      </c>
      <c r="I6" s="113">
        <f ca="1">IF('Panel Emissions'!$B26-'Panel Emissions'!I$25&lt;=0,-1,1)*(ABS(IF(OR(Mat=AnAli,Mat=StSt),0.5,0.85)*5.67/10^8*((IF(OR(Medium=Electric,Medium=DblTube),'Panel Emissions'!$B26,(50*'Panel Emissions'!$B26+6*'Panel Emissions'!I$25)/56)+273)^4-('Panel Emissions'!I$25+273)^4))+2.5*ABS(IF(OR(Medium=Electric,Medium=DblTube),'Panel Emissions'!$B26,(50*'Panel Emissions'!$B26+6*'Panel Emissions'!I$25)/56)-'Panel Emissions'!I$25)^1.25*IF(Angle*('Panel Emissions'!$B26-'Panel Emissions'!I$25)&lt;=0,(1+IF('Panel Emissions'!$B26-'Panel Emissions'!I$25&gt;=0,IF(Angle&lt;0,20%,IF(Mounting=0,IF(Width&lt;301,20%,IF(Width&lt;601,10%,0)),0)),IF(Angle&gt;0,20%,0))-20%),0.3*COS(Angle*PI()/180)+0.5)*1.1*(1+GapEx))*(1-HeightDerate)*IF(OR(Mat=PerfSt,Mat=PerfAli),80%,100%)*IF(EmissionsBasis=OFFSET(EmissionsByArea,0,-1),1,IF(EmissionsBasis=OFFSET(EmissionsByLength,0,-1),('Panel Emissions'!$C$14/1000),"?"))</f>
        <v>287.89667905698911</v>
      </c>
      <c r="J6" s="24"/>
      <c r="K6" s="12"/>
      <c r="L6" s="12"/>
      <c r="M6" s="12"/>
    </row>
    <row r="7" spans="2:13" x14ac:dyDescent="0.2">
      <c r="B7" s="90">
        <f>'Panel Emissions'!B27</f>
        <v>65</v>
      </c>
      <c r="C7" s="25">
        <f ca="1">IF('Panel Emissions'!$B27-'Panel Emissions'!C$25&lt;=0,-1,1)*(ABS(IF(OR(Mat=AnAli,Mat=StSt),0.5,0.85)*5.67/10^8*((IF(OR(Medium=Electric,Medium=DblTube),'Panel Emissions'!$B27,(50*'Panel Emissions'!$B27+6*'Panel Emissions'!C$25)/56)+273)^4-('Panel Emissions'!C$25+273)^4))+2.5*ABS(IF(OR(Medium=Electric,Medium=DblTube),'Panel Emissions'!$B27,(50*'Panel Emissions'!$B27+6*'Panel Emissions'!C$25)/56)-'Panel Emissions'!C$25)^1.25*IF(Angle*('Panel Emissions'!$B27-'Panel Emissions'!C$25)&lt;=0,(1+IF('Panel Emissions'!$B27-'Panel Emissions'!C$25&gt;=0,IF(Angle&lt;0,20%,IF(Mounting=0,IF(Width&lt;301,20%,IF(Width&lt;601,10%,0)),0)),IF(Angle&gt;0,20%,0))-20%),0.3*COS(Angle*PI()/180)+0.5)*1.1*(1+GapEx))*(1-HeightDerate)*IF(OR(Mat=PerfSt,Mat=PerfAli),80%,100%)*IF(EmissionsBasis=OFFSET(EmissionsByArea,0,-1),1,IF(EmissionsBasis=OFFSET(EmissionsByLength,0,-1),('Panel Emissions'!$C$14/1000),"?"))</f>
        <v>409.36174273986694</v>
      </c>
      <c r="D7" s="91">
        <f ca="1">IF('Panel Emissions'!$B27-'Panel Emissions'!D$25&lt;=0,-1,1)*(ABS(IF(OR(Mat=AnAli,Mat=StSt),0.5,0.85)*5.67/10^8*((IF(OR(Medium=Electric,Medium=DblTube),'Panel Emissions'!$B27,(50*'Panel Emissions'!$B27+6*'Panel Emissions'!D$25)/56)+273)^4-('Panel Emissions'!D$25+273)^4))+2.5*ABS(IF(OR(Medium=Electric,Medium=DblTube),'Panel Emissions'!$B27,(50*'Panel Emissions'!$B27+6*'Panel Emissions'!D$25)/56)-'Panel Emissions'!D$25)^1.25*IF(Angle*('Panel Emissions'!$B27-'Panel Emissions'!D$25)&lt;=0,(1+IF('Panel Emissions'!$B27-'Panel Emissions'!D$25&gt;=0,IF(Angle&lt;0,20%,IF(Mounting=0,IF(Width&lt;301,20%,IF(Width&lt;601,10%,0)),0)),IF(Angle&gt;0,20%,0))-20%),0.3*COS(Angle*PI()/180)+0.5)*1.1*(1+GapEx))*(1-HeightDerate)*IF(OR(Mat=PerfSt,Mat=PerfAli),80%,100%)*IF(EmissionsBasis=OFFSET(EmissionsByArea,0,-1),1,IF(EmissionsBasis=OFFSET(EmissionsByLength,0,-1),('Panel Emissions'!$C$14/1000),"?"))</f>
        <v>401.50902689369644</v>
      </c>
      <c r="E7" s="92">
        <f ca="1">IF('Panel Emissions'!$B27-'Panel Emissions'!E$25&lt;=0,-1,1)*(ABS(IF(OR(Mat=AnAli,Mat=StSt),0.5,0.85)*5.67/10^8*((IF(OR(Medium=Electric,Medium=DblTube),'Panel Emissions'!$B27,(50*'Panel Emissions'!$B27+6*'Panel Emissions'!E$25)/56)+273)^4-('Panel Emissions'!E$25+273)^4))+2.5*ABS(IF(OR(Medium=Electric,Medium=DblTube),'Panel Emissions'!$B27,(50*'Panel Emissions'!$B27+6*'Panel Emissions'!E$25)/56)-'Panel Emissions'!E$25)^1.25*IF(Angle*('Panel Emissions'!$B27-'Panel Emissions'!E$25)&lt;=0,(1+IF('Panel Emissions'!$B27-'Panel Emissions'!E$25&gt;=0,IF(Angle&lt;0,20%,IF(Mounting=0,IF(Width&lt;301,20%,IF(Width&lt;601,10%,0)),0)),IF(Angle&gt;0,20%,0))-20%),0.3*COS(Angle*PI()/180)+0.5)*1.1*(1+GapEx))*(1-HeightDerate)*IF(OR(Mat=PerfSt,Mat=PerfAli),80%,100%)*IF(EmissionsBasis=OFFSET(EmissionsByArea,0,-1),1,IF(EmissionsBasis=OFFSET(EmissionsByLength,0,-1),('Panel Emissions'!$C$14/1000),"?"))</f>
        <v>393.6288593807576</v>
      </c>
      <c r="F7" s="93">
        <f ca="1">IF('Panel Emissions'!$B27-'Panel Emissions'!F$25&lt;=0,-1,1)*(ABS(IF(OR(Mat=AnAli,Mat=StSt),0.5,0.85)*5.67/10^8*((IF(OR(Medium=Electric,Medium=DblTube),'Panel Emissions'!$B27,(50*'Panel Emissions'!$B27+6*'Panel Emissions'!F$25)/56)+273)^4-('Panel Emissions'!F$25+273)^4))+2.5*ABS(IF(OR(Medium=Electric,Medium=DblTube),'Panel Emissions'!$B27,(50*'Panel Emissions'!$B27+6*'Panel Emissions'!F$25)/56)-'Panel Emissions'!F$25)^1.25*IF(Angle*('Panel Emissions'!$B27-'Panel Emissions'!F$25)&lt;=0,(1+IF('Panel Emissions'!$B27-'Panel Emissions'!F$25&gt;=0,IF(Angle&lt;0,20%,IF(Mounting=0,IF(Width&lt;301,20%,IF(Width&lt;601,10%,0)),0)),IF(Angle&gt;0,20%,0))-20%),0.3*COS(Angle*PI()/180)+0.5)*1.1*(1+GapEx))*(1-HeightDerate)*IF(OR(Mat=PerfSt,Mat=PerfAli),80%,100%)*IF(EmissionsBasis=OFFSET(EmissionsByArea,0,-1),1,IF(EmissionsBasis=OFFSET(EmissionsByLength,0,-1),('Panel Emissions'!$C$14/1000),"?"))</f>
        <v>385.72123019096296</v>
      </c>
      <c r="G7" s="93">
        <f ca="1">IF('Panel Emissions'!$B27-'Panel Emissions'!G$25&lt;=0,-1,1)*(ABS(IF(OR(Mat=AnAli,Mat=StSt),0.5,0.85)*5.67/10^8*((IF(OR(Medium=Electric,Medium=DblTube),'Panel Emissions'!$B27,(50*'Panel Emissions'!$B27+6*'Panel Emissions'!G$25)/56)+273)^4-('Panel Emissions'!G$25+273)^4))+2.5*ABS(IF(OR(Medium=Electric,Medium=DblTube),'Panel Emissions'!$B27,(50*'Panel Emissions'!$B27+6*'Panel Emissions'!G$25)/56)-'Panel Emissions'!G$25)^1.25*IF(Angle*('Panel Emissions'!$B27-'Panel Emissions'!G$25)&lt;=0,(1+IF('Panel Emissions'!$B27-'Panel Emissions'!G$25&gt;=0,IF(Angle&lt;0,20%,IF(Mounting=0,IF(Width&lt;301,20%,IF(Width&lt;601,10%,0)),0)),IF(Angle&gt;0,20%,0))-20%),0.3*COS(Angle*PI()/180)+0.5)*1.1*(1+GapEx))*(1-HeightDerate)*IF(OR(Mat=PerfSt,Mat=PerfAli),80%,100%)*IF(EmissionsBasis=OFFSET(EmissionsByArea,0,-1),1,IF(EmissionsBasis=OFFSET(EmissionsByLength,0,-1),('Panel Emissions'!$C$14/1000),"?"))</f>
        <v>377.78614051144064</v>
      </c>
      <c r="H7" s="94">
        <f ca="1">IF('Panel Emissions'!$B27-'Panel Emissions'!H$25&lt;=0,-1,1)*(ABS(IF(OR(Mat=AnAli,Mat=StSt),0.5,0.85)*5.67/10^8*((IF(OR(Medium=Electric,Medium=DblTube),'Panel Emissions'!$B27,(50*'Panel Emissions'!$B27+6*'Panel Emissions'!H$25)/56)+273)^4-('Panel Emissions'!H$25+273)^4))+2.5*ABS(IF(OR(Medium=Electric,Medium=DblTube),'Panel Emissions'!$B27,(50*'Panel Emissions'!$B27+6*'Panel Emissions'!H$25)/56)-'Panel Emissions'!H$25)^1.25*IF(Angle*('Panel Emissions'!$B27-'Panel Emissions'!H$25)&lt;=0,(1+IF('Panel Emissions'!$B27-'Panel Emissions'!H$25&gt;=0,IF(Angle&lt;0,20%,IF(Mounting=0,IF(Width&lt;301,20%,IF(Width&lt;601,10%,0)),0)),IF(Angle&gt;0,20%,0))-20%),0.3*COS(Angle*PI()/180)+0.5)*1.1*(1+GapEx))*(1-HeightDerate)*IF(OR(Mat=PerfSt,Mat=PerfAli),80%,100%)*IF(EmissionsBasis=OFFSET(EmissionsByArea,0,-1),1,IF(EmissionsBasis=OFFSET(EmissionsByLength,0,-1),('Panel Emissions'!$C$14/1000),"?"))</f>
        <v>369.82360347964254</v>
      </c>
      <c r="I7" s="113">
        <f ca="1">IF('Panel Emissions'!$B27-'Panel Emissions'!I$25&lt;=0,-1,1)*(ABS(IF(OR(Mat=AnAli,Mat=StSt),0.5,0.85)*5.67/10^8*((IF(OR(Medium=Electric,Medium=DblTube),'Panel Emissions'!$B27,(50*'Panel Emissions'!$B27+6*'Panel Emissions'!I$25)/56)+273)^4-('Panel Emissions'!I$25+273)^4))+2.5*ABS(IF(OR(Medium=Electric,Medium=DblTube),'Panel Emissions'!$B27,(50*'Panel Emissions'!$B27+6*'Panel Emissions'!I$25)/56)-'Panel Emissions'!I$25)^1.25*IF(Angle*('Panel Emissions'!$B27-'Panel Emissions'!I$25)&lt;=0,(1+IF('Panel Emissions'!$B27-'Panel Emissions'!I$25&gt;=0,IF(Angle&lt;0,20%,IF(Mounting=0,IF(Width&lt;301,20%,IF(Width&lt;601,10%,0)),0)),IF(Angle&gt;0,20%,0))-20%),0.3*COS(Angle*PI()/180)+0.5)*1.1*(1+GapEx))*(1-HeightDerate)*IF(OR(Mat=PerfSt,Mat=PerfAli),80%,100%)*IF(EmissionsBasis=OFFSET(EmissionsByArea,0,-1),1,IF(EmissionsBasis=OFFSET(EmissionsByLength,0,-1),('Panel Emissions'!$C$14/1000),"?"))</f>
        <v>337.69971065597463</v>
      </c>
      <c r="J7" s="24"/>
      <c r="K7" s="12"/>
      <c r="L7" s="12"/>
      <c r="M7" s="12"/>
    </row>
    <row r="8" spans="2:13" x14ac:dyDescent="0.2">
      <c r="B8" s="90">
        <f>'Panel Emissions'!B28</f>
        <v>70</v>
      </c>
      <c r="C8" s="25">
        <f ca="1">IF('Panel Emissions'!$B28-'Panel Emissions'!C$25&lt;=0,-1,1)*(ABS(IF(OR(Mat=AnAli,Mat=StSt),0.5,0.85)*5.67/10^8*((IF(OR(Medium=Electric,Medium=DblTube),'Panel Emissions'!$B28,(50*'Panel Emissions'!$B28+6*'Panel Emissions'!C$25)/56)+273)^4-('Panel Emissions'!C$25+273)^4))+2.5*ABS(IF(OR(Medium=Electric,Medium=DblTube),'Panel Emissions'!$B28,(50*'Panel Emissions'!$B28+6*'Panel Emissions'!C$25)/56)-'Panel Emissions'!C$25)^1.25*IF(Angle*('Panel Emissions'!$B28-'Panel Emissions'!C$25)&lt;=0,(1+IF('Panel Emissions'!$B28-'Panel Emissions'!C$25&gt;=0,IF(Angle&lt;0,20%,IF(Mounting=0,IF(Width&lt;301,20%,IF(Width&lt;601,10%,0)),0)),IF(Angle&gt;0,20%,0))-20%),0.3*COS(Angle*PI()/180)+0.5)*1.1*(1+GapEx))*(1-HeightDerate)*IF(OR(Mat=PerfSt,Mat=PerfAli),80%,100%)*IF(EmissionsBasis=OFFSET(EmissionsByArea,0,-1),1,IF(EmissionsBasis=OFFSET(EmissionsByLength,0,-1),('Panel Emissions'!$C$14/1000),"?"))</f>
        <v>461.6928122836016</v>
      </c>
      <c r="D8" s="91">
        <f ca="1">IF('Panel Emissions'!$B28-'Panel Emissions'!D$25&lt;=0,-1,1)*(ABS(IF(OR(Mat=AnAli,Mat=StSt),0.5,0.85)*5.67/10^8*((IF(OR(Medium=Electric,Medium=DblTube),'Panel Emissions'!$B28,(50*'Panel Emissions'!$B28+6*'Panel Emissions'!D$25)/56)+273)^4-('Panel Emissions'!D$25+273)^4))+2.5*ABS(IF(OR(Medium=Electric,Medium=DblTube),'Panel Emissions'!$B28,(50*'Panel Emissions'!$B28+6*'Panel Emissions'!D$25)/56)-'Panel Emissions'!D$25)^1.25*IF(Angle*('Panel Emissions'!$B28-'Panel Emissions'!D$25)&lt;=0,(1+IF('Panel Emissions'!$B28-'Panel Emissions'!D$25&gt;=0,IF(Angle&lt;0,20%,IF(Mounting=0,IF(Width&lt;301,20%,IF(Width&lt;601,10%,0)),0)),IF(Angle&gt;0,20%,0))-20%),0.3*COS(Angle*PI()/180)+0.5)*1.1*(1+GapEx))*(1-HeightDerate)*IF(OR(Mat=PerfSt,Mat=PerfAli),80%,100%)*IF(EmissionsBasis=OFFSET(EmissionsByArea,0,-1),1,IF(EmissionsBasis=OFFSET(EmissionsByLength,0,-1),('Panel Emissions'!$C$14/1000),"?"))</f>
        <v>453.77338847435408</v>
      </c>
      <c r="E8" s="92">
        <f ca="1">IF('Panel Emissions'!$B28-'Panel Emissions'!E$25&lt;=0,-1,1)*(ABS(IF(OR(Mat=AnAli,Mat=StSt),0.5,0.85)*5.67/10^8*((IF(OR(Medium=Electric,Medium=DblTube),'Panel Emissions'!$B28,(50*'Panel Emissions'!$B28+6*'Panel Emissions'!E$25)/56)+273)^4-('Panel Emissions'!E$25+273)^4))+2.5*ABS(IF(OR(Medium=Electric,Medium=DblTube),'Panel Emissions'!$B28,(50*'Panel Emissions'!$B28+6*'Panel Emissions'!E$25)/56)-'Panel Emissions'!E$25)^1.25*IF(Angle*('Panel Emissions'!$B28-'Panel Emissions'!E$25)&lt;=0,(1+IF('Panel Emissions'!$B28-'Panel Emissions'!E$25&gt;=0,IF(Angle&lt;0,20%,IF(Mounting=0,IF(Width&lt;301,20%,IF(Width&lt;601,10%,0)),0)),IF(Angle&gt;0,20%,0))-20%),0.3*COS(Angle*PI()/180)+0.5)*1.1*(1+GapEx))*(1-HeightDerate)*IF(OR(Mat=PerfSt,Mat=PerfAli),80%,100%)*IF(EmissionsBasis=OFFSET(EmissionsByArea,0,-1),1,IF(EmissionsBasis=OFFSET(EmissionsByLength,0,-1),('Panel Emissions'!$C$14/1000),"?"))</f>
        <v>445.82506790447883</v>
      </c>
      <c r="F8" s="93">
        <f ca="1">IF('Panel Emissions'!$B28-'Panel Emissions'!F$25&lt;=0,-1,1)*(ABS(IF(OR(Mat=AnAli,Mat=StSt),0.5,0.85)*5.67/10^8*((IF(OR(Medium=Electric,Medium=DblTube),'Panel Emissions'!$B28,(50*'Panel Emissions'!$B28+6*'Panel Emissions'!F$25)/56)+273)^4-('Panel Emissions'!F$25+273)^4))+2.5*ABS(IF(OR(Medium=Electric,Medium=DblTube),'Panel Emissions'!$B28,(50*'Panel Emissions'!$B28+6*'Panel Emissions'!F$25)/56)-'Panel Emissions'!F$25)^1.25*IF(Angle*('Panel Emissions'!$B28-'Panel Emissions'!F$25)&lt;=0,(1+IF('Panel Emissions'!$B28-'Panel Emissions'!F$25&gt;=0,IF(Angle&lt;0,20%,IF(Mounting=0,IF(Width&lt;301,20%,IF(Width&lt;601,10%,0)),0)),IF(Angle&gt;0,20%,0))-20%),0.3*COS(Angle*PI()/180)+0.5)*1.1*(1+GapEx))*(1-HeightDerate)*IF(OR(Mat=PerfSt,Mat=PerfAli),80%,100%)*IF(EmissionsBasis=OFFSET(EmissionsByArea,0,-1),1,IF(EmissionsBasis=OFFSET(EmissionsByLength,0,-1),('Panel Emissions'!$C$14/1000),"?"))</f>
        <v>437.84778825525882</v>
      </c>
      <c r="G8" s="93">
        <f ca="1">IF('Panel Emissions'!$B28-'Panel Emissions'!G$25&lt;=0,-1,1)*(ABS(IF(OR(Mat=AnAli,Mat=StSt),0.5,0.85)*5.67/10^8*((IF(OR(Medium=Electric,Medium=DblTube),'Panel Emissions'!$B28,(50*'Panel Emissions'!$B28+6*'Panel Emissions'!G$25)/56)+273)^4-('Panel Emissions'!G$25+273)^4))+2.5*ABS(IF(OR(Medium=Electric,Medium=DblTube),'Panel Emissions'!$B28,(50*'Panel Emissions'!$B28+6*'Panel Emissions'!G$25)/56)-'Panel Emissions'!G$25)^1.25*IF(Angle*('Panel Emissions'!$B28-'Panel Emissions'!G$25)&lt;=0,(1+IF('Panel Emissions'!$B28-'Panel Emissions'!G$25&gt;=0,IF(Angle&lt;0,20%,IF(Mounting=0,IF(Width&lt;301,20%,IF(Width&lt;601,10%,0)),0)),IF(Angle&gt;0,20%,0))-20%),0.3*COS(Angle*PI()/180)+0.5)*1.1*(1+GapEx))*(1-HeightDerate)*IF(OR(Mat=PerfSt,Mat=PerfAli),80%,100%)*IF(EmissionsBasis=OFFSET(EmissionsByArea,0,-1),1,IF(EmissionsBasis=OFFSET(EmissionsByLength,0,-1),('Panel Emissions'!$C$14/1000),"?"))</f>
        <v>429.84149540543194</v>
      </c>
      <c r="H8" s="94">
        <f ca="1">IF('Panel Emissions'!$B28-'Panel Emissions'!H$25&lt;=0,-1,1)*(ABS(IF(OR(Mat=AnAli,Mat=StSt),0.5,0.85)*5.67/10^8*((IF(OR(Medium=Electric,Medium=DblTube),'Panel Emissions'!$B28,(50*'Panel Emissions'!$B28+6*'Panel Emissions'!H$25)/56)+273)^4-('Panel Emissions'!H$25+273)^4))+2.5*ABS(IF(OR(Medium=Electric,Medium=DblTube),'Panel Emissions'!$B28,(50*'Panel Emissions'!$B28+6*'Panel Emissions'!H$25)/56)-'Panel Emissions'!H$25)^1.25*IF(Angle*('Panel Emissions'!$B28-'Panel Emissions'!H$25)&lt;=0,(1+IF('Panel Emissions'!$B28-'Panel Emissions'!H$25&gt;=0,IF(Angle&lt;0,20%,IF(Mounting=0,IF(Width&lt;301,20%,IF(Width&lt;601,10%,0)),0)),IF(Angle&gt;0,20%,0))-20%),0.3*COS(Angle*PI()/180)+0.5)*1.1*(1+GapEx))*(1-HeightDerate)*IF(OR(Mat=PerfSt,Mat=PerfAli),80%,100%)*IF(EmissionsBasis=OFFSET(EmissionsByArea,0,-1),1,IF(EmissionsBasis=OFFSET(EmissionsByLength,0,-1),('Panel Emissions'!$C$14/1000),"?"))</f>
        <v>421.80614394451538</v>
      </c>
      <c r="I8" s="113">
        <f ca="1">IF('Panel Emissions'!$B28-'Panel Emissions'!I$25&lt;=0,-1,1)*(ABS(IF(OR(Mat=AnAli,Mat=StSt),0.5,0.85)*5.67/10^8*((IF(OR(Medium=Electric,Medium=DblTube),'Panel Emissions'!$B28,(50*'Panel Emissions'!$B28+6*'Panel Emissions'!I$25)/56)+273)^4-('Panel Emissions'!I$25+273)^4))+2.5*ABS(IF(OR(Medium=Electric,Medium=DblTube),'Panel Emissions'!$B28,(50*'Panel Emissions'!$B28+6*'Panel Emissions'!I$25)/56)-'Panel Emissions'!I$25)^1.25*IF(Angle*('Panel Emissions'!$B28-'Panel Emissions'!I$25)&lt;=0,(1+IF('Panel Emissions'!$B28-'Panel Emissions'!I$25&gt;=0,IF(Angle&lt;0,20%,IF(Mounting=0,IF(Width&lt;301,20%,IF(Width&lt;601,10%,0)),0)),IF(Angle&gt;0,20%,0))-20%),0.3*COS(Angle*PI()/180)+0.5)*1.1*(1+GapEx))*(1-HeightDerate)*IF(OR(Mat=PerfSt,Mat=PerfAli),80%,100%)*IF(EmissionsBasis=OFFSET(EmissionsByArea,0,-1),1,IF(EmissionsBasis=OFFSET(EmissionsByLength,0,-1),('Panel Emissions'!$C$14/1000),"?"))</f>
        <v>389.37358084019939</v>
      </c>
      <c r="J8" s="24"/>
      <c r="K8" s="12"/>
      <c r="L8" s="12"/>
      <c r="M8" s="12"/>
    </row>
    <row r="9" spans="2:13" x14ac:dyDescent="0.2">
      <c r="B9" s="90">
        <f>'Panel Emissions'!B29</f>
        <v>75</v>
      </c>
      <c r="C9" s="25">
        <f ca="1">IF('Panel Emissions'!$B29-'Panel Emissions'!C$25&lt;=0,-1,1)*(ABS(IF(OR(Mat=AnAli,Mat=StSt),0.5,0.85)*5.67/10^8*((IF(OR(Medium=Electric,Medium=DblTube),'Panel Emissions'!$B29,(50*'Panel Emissions'!$B29+6*'Panel Emissions'!C$25)/56)+273)^4-('Panel Emissions'!C$25+273)^4))+2.5*ABS(IF(OR(Medium=Electric,Medium=DblTube),'Panel Emissions'!$B29,(50*'Panel Emissions'!$B29+6*'Panel Emissions'!C$25)/56)-'Panel Emissions'!C$25)^1.25*IF(Angle*('Panel Emissions'!$B29-'Panel Emissions'!C$25)&lt;=0,(1+IF('Panel Emissions'!$B29-'Panel Emissions'!C$25&gt;=0,IF(Angle&lt;0,20%,IF(Mounting=0,IF(Width&lt;301,20%,IF(Width&lt;601,10%,0)),0)),IF(Angle&gt;0,20%,0))-20%),0.3*COS(Angle*PI()/180)+0.5)*1.1*(1+GapEx))*(1-HeightDerate)*IF(OR(Mat=PerfSt,Mat=PerfAli),80%,100%)*IF(EmissionsBasis=OFFSET(EmissionsByArea,0,-1),1,IF(EmissionsBasis=OFFSET(EmissionsByLength,0,-1),('Panel Emissions'!$C$14/1000),"?"))</f>
        <v>515.80307897000262</v>
      </c>
      <c r="D9" s="91">
        <f ca="1">IF('Panel Emissions'!$B29-'Panel Emissions'!D$25&lt;=0,-1,1)*(ABS(IF(OR(Mat=AnAli,Mat=StSt),0.5,0.85)*5.67/10^8*((IF(OR(Medium=Electric,Medium=DblTube),'Panel Emissions'!$B29,(50*'Panel Emissions'!$B29+6*'Panel Emissions'!D$25)/56)+273)^4-('Panel Emissions'!D$25+273)^4))+2.5*ABS(IF(OR(Medium=Electric,Medium=DblTube),'Panel Emissions'!$B29,(50*'Panel Emissions'!$B29+6*'Panel Emissions'!D$25)/56)-'Panel Emissions'!D$25)^1.25*IF(Angle*('Panel Emissions'!$B29-'Panel Emissions'!D$25)&lt;=0,(1+IF('Panel Emissions'!$B29-'Panel Emissions'!D$25&gt;=0,IF(Angle&lt;0,20%,IF(Mounting=0,IF(Width&lt;301,20%,IF(Width&lt;601,10%,0)),0)),IF(Angle&gt;0,20%,0))-20%),0.3*COS(Angle*PI()/180)+0.5)*1.1*(1+GapEx))*(1-HeightDerate)*IF(OR(Mat=PerfSt,Mat=PerfAli),80%,100%)*IF(EmissionsBasis=OFFSET(EmissionsByArea,0,-1),1,IF(EmissionsBasis=OFFSET(EmissionsByLength,0,-1),('Panel Emissions'!$C$14/1000),"?"))</f>
        <v>507.82441107336507</v>
      </c>
      <c r="E9" s="92">
        <f ca="1">IF('Panel Emissions'!$B29-'Panel Emissions'!E$25&lt;=0,-1,1)*(ABS(IF(OR(Mat=AnAli,Mat=StSt),0.5,0.85)*5.67/10^8*((IF(OR(Medium=Electric,Medium=DblTube),'Panel Emissions'!$B29,(50*'Panel Emissions'!$B29+6*'Panel Emissions'!E$25)/56)+273)^4-('Panel Emissions'!E$25+273)^4))+2.5*ABS(IF(OR(Medium=Electric,Medium=DblTube),'Panel Emissions'!$B29,(50*'Panel Emissions'!$B29+6*'Panel Emissions'!E$25)/56)-'Panel Emissions'!E$25)^1.25*IF(Angle*('Panel Emissions'!$B29-'Panel Emissions'!E$25)&lt;=0,(1+IF('Panel Emissions'!$B29-'Panel Emissions'!E$25&gt;=0,IF(Angle&lt;0,20%,IF(Mounting=0,IF(Width&lt;301,20%,IF(Width&lt;601,10%,0)),0)),IF(Angle&gt;0,20%,0))-20%),0.3*COS(Angle*PI()/180)+0.5)*1.1*(1+GapEx))*(1-HeightDerate)*IF(OR(Mat=PerfSt,Mat=PerfAli),80%,100%)*IF(EmissionsBasis=OFFSET(EmissionsByArea,0,-1),1,IF(EmissionsBasis=OFFSET(EmissionsByLength,0,-1),('Panel Emissions'!$C$14/1000),"?"))</f>
        <v>499.81562514034147</v>
      </c>
      <c r="F9" s="93">
        <f ca="1">IF('Panel Emissions'!$B29-'Panel Emissions'!F$25&lt;=0,-1,1)*(ABS(IF(OR(Mat=AnAli,Mat=StSt),0.5,0.85)*5.67/10^8*((IF(OR(Medium=Electric,Medium=DblTube),'Panel Emissions'!$B29,(50*'Panel Emissions'!$B29+6*'Panel Emissions'!F$25)/56)+273)^4-('Panel Emissions'!F$25+273)^4))+2.5*ABS(IF(OR(Medium=Electric,Medium=DblTube),'Panel Emissions'!$B29,(50*'Panel Emissions'!$B29+6*'Panel Emissions'!F$25)/56)-'Panel Emissions'!F$25)^1.25*IF(Angle*('Panel Emissions'!$B29-'Panel Emissions'!F$25)&lt;=0,(1+IF('Panel Emissions'!$B29-'Panel Emissions'!F$25&gt;=0,IF(Angle&lt;0,20%,IF(Mounting=0,IF(Width&lt;301,20%,IF(Width&lt;601,10%,0)),0)),IF(Angle&gt;0,20%,0))-20%),0.3*COS(Angle*PI()/180)+0.5)*1.1*(1+GapEx))*(1-HeightDerate)*IF(OR(Mat=PerfSt,Mat=PerfAli),80%,100%)*IF(EmissionsBasis=OFFSET(EmissionsByArea,0,-1),1,IF(EmissionsBasis=OFFSET(EmissionsByLength,0,-1),('Panel Emissions'!$C$14/1000),"?"))</f>
        <v>491.7766186394839</v>
      </c>
      <c r="G9" s="93">
        <f ca="1">IF('Panel Emissions'!$B29-'Panel Emissions'!G$25&lt;=0,-1,1)*(ABS(IF(OR(Mat=AnAli,Mat=StSt),0.5,0.85)*5.67/10^8*((IF(OR(Medium=Electric,Medium=DblTube),'Panel Emissions'!$B29,(50*'Panel Emissions'!$B29+6*'Panel Emissions'!G$25)/56)+273)^4-('Panel Emissions'!G$25+273)^4))+2.5*ABS(IF(OR(Medium=Electric,Medium=DblTube),'Panel Emissions'!$B29,(50*'Panel Emissions'!$B29+6*'Panel Emissions'!G$25)/56)-'Panel Emissions'!G$25)^1.25*IF(Angle*('Panel Emissions'!$B29-'Panel Emissions'!G$25)&lt;=0,(1+IF('Panel Emissions'!$B29-'Panel Emissions'!G$25&gt;=0,IF(Angle&lt;0,20%,IF(Mounting=0,IF(Width&lt;301,20%,IF(Width&lt;601,10%,0)),0)),IF(Angle&gt;0,20%,0))-20%),0.3*COS(Angle*PI()/180)+0.5)*1.1*(1+GapEx))*(1-HeightDerate)*IF(OR(Mat=PerfSt,Mat=PerfAli),80%,100%)*IF(EmissionsBasis=OFFSET(EmissionsByArea,0,-1),1,IF(EmissionsBasis=OFFSET(EmissionsByLength,0,-1),('Panel Emissions'!$C$14/1000),"?"))</f>
        <v>483.70729514895095</v>
      </c>
      <c r="H9" s="94">
        <f ca="1">IF('Panel Emissions'!$B29-'Panel Emissions'!H$25&lt;=0,-1,1)*(ABS(IF(OR(Mat=AnAli,Mat=StSt),0.5,0.85)*5.67/10^8*((IF(OR(Medium=Electric,Medium=DblTube),'Panel Emissions'!$B29,(50*'Panel Emissions'!$B29+6*'Panel Emissions'!H$25)/56)+273)^4-('Panel Emissions'!H$25+273)^4))+2.5*ABS(IF(OR(Medium=Electric,Medium=DblTube),'Panel Emissions'!$B29,(50*'Panel Emissions'!$B29+6*'Panel Emissions'!H$25)/56)-'Panel Emissions'!H$25)^1.25*IF(Angle*('Panel Emissions'!$B29-'Panel Emissions'!H$25)&lt;=0,(1+IF('Panel Emissions'!$B29-'Panel Emissions'!H$25&gt;=0,IF(Angle&lt;0,20%,IF(Mounting=0,IF(Width&lt;301,20%,IF(Width&lt;601,10%,0)),0)),IF(Angle&gt;0,20%,0))-20%),0.3*COS(Angle*PI()/180)+0.5)*1.1*(1+GapEx))*(1-HeightDerate)*IF(OR(Mat=PerfSt,Mat=PerfAli),80%,100%)*IF(EmissionsBasis=OFFSET(EmissionsByArea,0,-1),1,IF(EmissionsBasis=OFFSET(EmissionsByLength,0,-1),('Panel Emissions'!$C$14/1000),"?"))</f>
        <v>475.60756471907365</v>
      </c>
      <c r="I9" s="113">
        <f ca="1">IF('Panel Emissions'!$B29-'Panel Emissions'!I$25&lt;=0,-1,1)*(ABS(IF(OR(Mat=AnAli,Mat=StSt),0.5,0.85)*5.67/10^8*((IF(OR(Medium=Electric,Medium=DblTube),'Panel Emissions'!$B29,(50*'Panel Emissions'!$B29+6*'Panel Emissions'!I$25)/56)+273)^4-('Panel Emissions'!I$25+273)^4))+2.5*ABS(IF(OR(Medium=Electric,Medium=DblTube),'Panel Emissions'!$B29,(50*'Panel Emissions'!$B29+6*'Panel Emissions'!I$25)/56)-'Panel Emissions'!I$25)^1.25*IF(Angle*('Panel Emissions'!$B29-'Panel Emissions'!I$25)&lt;=0,(1+IF('Panel Emissions'!$B29-'Panel Emissions'!I$25&gt;=0,IF(Angle&lt;0,20%,IF(Mounting=0,IF(Width&lt;301,20%,IF(Width&lt;601,10%,0)),0)),IF(Angle&gt;0,20%,0))-20%),0.3*COS(Angle*PI()/180)+0.5)*1.1*(1+GapEx))*(1-HeightDerate)*IF(OR(Mat=PerfSt,Mat=PerfAli),80%,100%)*IF(EmissionsBasis=OFFSET(EmissionsByArea,0,-1),1,IF(EmissionsBasis=OFFSET(EmissionsByLength,0,-1),('Panel Emissions'!$C$14/1000),"?"))</f>
        <v>442.90302363629928</v>
      </c>
      <c r="J9" s="24"/>
      <c r="K9" s="12"/>
      <c r="L9" s="12"/>
      <c r="M9" s="12"/>
    </row>
    <row r="10" spans="2:13" x14ac:dyDescent="0.2">
      <c r="B10" s="90">
        <f>'Panel Emissions'!B30</f>
        <v>76.67</v>
      </c>
      <c r="C10" s="25">
        <f ca="1">IF('Panel Emissions'!$B30-'Panel Emissions'!C$25&lt;=0,-1,1)*(ABS(IF(OR(Mat=AnAli,Mat=StSt),0.5,0.85)*5.67/10^8*((IF(OR(Medium=Electric,Medium=DblTube),'Panel Emissions'!$B30,(50*'Panel Emissions'!$B30+6*'Panel Emissions'!C$25)/56)+273)^4-('Panel Emissions'!C$25+273)^4))+2.5*ABS(IF(OR(Medium=Electric,Medium=DblTube),'Panel Emissions'!$B30,(50*'Panel Emissions'!$B30+6*'Panel Emissions'!C$25)/56)-'Panel Emissions'!C$25)^1.25*IF(Angle*('Panel Emissions'!$B30-'Panel Emissions'!C$25)&lt;=0,(1+IF('Panel Emissions'!$B30-'Panel Emissions'!C$25&gt;=0,IF(Angle&lt;0,20%,IF(Mounting=0,IF(Width&lt;301,20%,IF(Width&lt;601,10%,0)),0)),IF(Angle&gt;0,20%,0))-20%),0.3*COS(Angle*PI()/180)+0.5)*1.1*(1+GapEx))*(1-HeightDerate)*IF(OR(Mat=PerfSt,Mat=PerfAli),80%,100%)*IF(EmissionsBasis=OFFSET(EmissionsByArea,0,-1),1,IF(EmissionsBasis=OFFSET(EmissionsByLength,0,-1),('Panel Emissions'!$C$14/1000),"?"))</f>
        <v>534.27295652465637</v>
      </c>
      <c r="D10" s="91">
        <f ca="1">IF('Panel Emissions'!$B30-'Panel Emissions'!D$25&lt;=0,-1,1)*(ABS(IF(OR(Mat=AnAli,Mat=StSt),0.5,0.85)*5.67/10^8*((IF(OR(Medium=Electric,Medium=DblTube),'Panel Emissions'!$B30,(50*'Panel Emissions'!$B30+6*'Panel Emissions'!D$25)/56)+273)^4-('Panel Emissions'!D$25+273)^4))+2.5*ABS(IF(OR(Medium=Electric,Medium=DblTube),'Panel Emissions'!$B30,(50*'Panel Emissions'!$B30+6*'Panel Emissions'!D$25)/56)-'Panel Emissions'!D$25)^1.25*IF(Angle*('Panel Emissions'!$B30-'Panel Emissions'!D$25)&lt;=0,(1+IF('Panel Emissions'!$B30-'Panel Emissions'!D$25&gt;=0,IF(Angle&lt;0,20%,IF(Mounting=0,IF(Width&lt;301,20%,IF(Width&lt;601,10%,0)),0)),IF(Angle&gt;0,20%,0))-20%),0.3*COS(Angle*PI()/180)+0.5)*1.1*(1+GapEx))*(1-HeightDerate)*IF(OR(Mat=PerfSt,Mat=PerfAli),80%,100%)*IF(EmissionsBasis=OFFSET(EmissionsByArea,0,-1),1,IF(EmissionsBasis=OFFSET(EmissionsByLength,0,-1),('Panel Emissions'!$C$14/1000),"?"))</f>
        <v>526.27599239906488</v>
      </c>
      <c r="E10" s="92">
        <f ca="1">IF('Panel Emissions'!$B30-'Panel Emissions'!E$25&lt;=0,-1,1)*(ABS(IF(OR(Mat=AnAli,Mat=StSt),0.5,0.85)*5.67/10^8*((IF(OR(Medium=Electric,Medium=DblTube),'Panel Emissions'!$B30,(50*'Panel Emissions'!$B30+6*'Panel Emissions'!E$25)/56)+273)^4-('Panel Emissions'!E$25+273)^4))+2.5*ABS(IF(OR(Medium=Electric,Medium=DblTube),'Panel Emissions'!$B30,(50*'Panel Emissions'!$B30+6*'Panel Emissions'!E$25)/56)-'Panel Emissions'!E$25)^1.25*IF(Angle*('Panel Emissions'!$B30-'Panel Emissions'!E$25)&lt;=0,(1+IF('Panel Emissions'!$B30-'Panel Emissions'!E$25&gt;=0,IF(Angle&lt;0,20%,IF(Mounting=0,IF(Width&lt;301,20%,IF(Width&lt;601,10%,0)),0)),IF(Angle&gt;0,20%,0))-20%),0.3*COS(Angle*PI()/180)+0.5)*1.1*(1+GapEx))*(1-HeightDerate)*IF(OR(Mat=PerfSt,Mat=PerfAli),80%,100%)*IF(EmissionsBasis=OFFSET(EmissionsByArea,0,-1),1,IF(EmissionsBasis=OFFSET(EmissionsByLength,0,-1),('Panel Emissions'!$C$14/1000),"?"))</f>
        <v>518.24854319591748</v>
      </c>
      <c r="F10" s="93">
        <f ca="1">IF('Panel Emissions'!$B30-'Panel Emissions'!F$25&lt;=0,-1,1)*(ABS(IF(OR(Mat=AnAli,Mat=StSt),0.5,0.85)*5.67/10^8*((IF(OR(Medium=Electric,Medium=DblTube),'Panel Emissions'!$B30,(50*'Panel Emissions'!$B30+6*'Panel Emissions'!F$25)/56)+273)^4-('Panel Emissions'!F$25+273)^4))+2.5*ABS(IF(OR(Medium=Electric,Medium=DblTube),'Panel Emissions'!$B30,(50*'Panel Emissions'!$B30+6*'Panel Emissions'!F$25)/56)-'Panel Emissions'!F$25)^1.25*IF(Angle*('Panel Emissions'!$B30-'Panel Emissions'!F$25)&lt;=0,(1+IF('Panel Emissions'!$B30-'Panel Emissions'!F$25&gt;=0,IF(Angle&lt;0,20%,IF(Mounting=0,IF(Width&lt;301,20%,IF(Width&lt;601,10%,0)),0)),IF(Angle&gt;0,20%,0))-20%),0.3*COS(Angle*PI()/180)+0.5)*1.1*(1+GapEx))*(1-HeightDerate)*IF(OR(Mat=PerfSt,Mat=PerfAli),80%,100%)*IF(EmissionsBasis=OFFSET(EmissionsByArea,0,-1),1,IF(EmissionsBasis=OFFSET(EmissionsByLength,0,-1),('Panel Emissions'!$C$14/1000),"?"))</f>
        <v>510.19049499760433</v>
      </c>
      <c r="G10" s="93">
        <f ca="1">IF('Panel Emissions'!$B30-'Panel Emissions'!G$25&lt;=0,-1,1)*(ABS(IF(OR(Mat=AnAli,Mat=StSt),0.5,0.85)*5.67/10^8*((IF(OR(Medium=Electric,Medium=DblTube),'Panel Emissions'!$B30,(50*'Panel Emissions'!$B30+6*'Panel Emissions'!G$25)/56)+273)^4-('Panel Emissions'!G$25+273)^4))+2.5*ABS(IF(OR(Medium=Electric,Medium=DblTube),'Panel Emissions'!$B30,(50*'Panel Emissions'!$B30+6*'Panel Emissions'!G$25)/56)-'Panel Emissions'!G$25)^1.25*IF(Angle*('Panel Emissions'!$B30-'Panel Emissions'!G$25)&lt;=0,(1+IF('Panel Emissions'!$B30-'Panel Emissions'!G$25&gt;=0,IF(Angle&lt;0,20%,IF(Mounting=0,IF(Width&lt;301,20%,IF(Width&lt;601,10%,0)),0)),IF(Angle&gt;0,20%,0))-20%),0.3*COS(Angle*PI()/180)+0.5)*1.1*(1+GapEx))*(1-HeightDerate)*IF(OR(Mat=PerfSt,Mat=PerfAli),80%,100%)*IF(EmissionsBasis=OFFSET(EmissionsByArea,0,-1),1,IF(EmissionsBasis=OFFSET(EmissionsByLength,0,-1),('Panel Emissions'!$C$14/1000),"?"))</f>
        <v>502.10173944121664</v>
      </c>
      <c r="H10" s="94">
        <f ca="1">IF('Panel Emissions'!$B30-'Panel Emissions'!H$25&lt;=0,-1,1)*(ABS(IF(OR(Mat=AnAli,Mat=StSt),0.5,0.85)*5.67/10^8*((IF(OR(Medium=Electric,Medium=DblTube),'Panel Emissions'!$B30,(50*'Panel Emissions'!$B30+6*'Panel Emissions'!H$25)/56)+273)^4-('Panel Emissions'!H$25+273)^4))+2.5*ABS(IF(OR(Medium=Electric,Medium=DblTube),'Panel Emissions'!$B30,(50*'Panel Emissions'!$B30+6*'Panel Emissions'!H$25)/56)-'Panel Emissions'!H$25)^1.25*IF(Angle*('Panel Emissions'!$B30-'Panel Emissions'!H$25)&lt;=0,(1+IF('Panel Emissions'!$B30-'Panel Emissions'!H$25&gt;=0,IF(Angle&lt;0,20%,IF(Mounting=0,IF(Width&lt;301,20%,IF(Width&lt;601,10%,0)),0)),IF(Angle&gt;0,20%,0))-20%),0.3*COS(Angle*PI()/180)+0.5)*1.1*(1+GapEx))*(1-HeightDerate)*IF(OR(Mat=PerfSt,Mat=PerfAli),80%,100%)*IF(EmissionsBasis=OFFSET(EmissionsByArea,0,-1),1,IF(EmissionsBasis=OFFSET(EmissionsByLength,0,-1),('Panel Emissions'!$C$14/1000),"?"))</f>
        <v>493.98217404357592</v>
      </c>
      <c r="I10" s="113">
        <f ca="1">IF('Panel Emissions'!$B30-'Panel Emissions'!I$25&lt;=0,-1,1)*(ABS(IF(OR(Mat=AnAli,Mat=StSt),0.5,0.85)*5.67/10^8*((IF(OR(Medium=Electric,Medium=DblTube),'Panel Emissions'!$B30,(50*'Panel Emissions'!$B30+6*'Panel Emissions'!I$25)/56)+273)^4-('Panel Emissions'!I$25+273)^4))+2.5*ABS(IF(OR(Medium=Electric,Medium=DblTube),'Panel Emissions'!$B30,(50*'Panel Emissions'!$B30+6*'Panel Emissions'!I$25)/56)-'Panel Emissions'!I$25)^1.25*IF(Angle*('Panel Emissions'!$B30-'Panel Emissions'!I$25)&lt;=0,(1+IF('Panel Emissions'!$B30-'Panel Emissions'!I$25&gt;=0,IF(Angle&lt;0,20%,IF(Mounting=0,IF(Width&lt;301,20%,IF(Width&lt;601,10%,0)),0)),IF(Angle&gt;0,20%,0))-20%),0.3*COS(Angle*PI()/180)+0.5)*1.1*(1+GapEx))*(1-HeightDerate)*IF(OR(Mat=PerfSt,Mat=PerfAli),80%,100%)*IF(EmissionsBasis=OFFSET(EmissionsByArea,0,-1),1,IF(EmissionsBasis=OFFSET(EmissionsByLength,0,-1),('Panel Emissions'!$C$14/1000),"?"))</f>
        <v>461.19399027440261</v>
      </c>
      <c r="J10" s="24"/>
      <c r="K10" s="12"/>
      <c r="L10" s="12"/>
      <c r="M10" s="12"/>
    </row>
    <row r="11" spans="2:13" x14ac:dyDescent="0.2">
      <c r="B11" s="90">
        <f>'Panel Emissions'!B31</f>
        <v>80</v>
      </c>
      <c r="C11" s="25">
        <f ca="1">IF('Panel Emissions'!$B31-'Panel Emissions'!C$25&lt;=0,-1,1)*(ABS(IF(OR(Mat=AnAli,Mat=StSt),0.5,0.85)*5.67/10^8*((IF(OR(Medium=Electric,Medium=DblTube),'Panel Emissions'!$B31,(50*'Panel Emissions'!$B31+6*'Panel Emissions'!C$25)/56)+273)^4-('Panel Emissions'!C$25+273)^4))+2.5*ABS(IF(OR(Medium=Electric,Medium=DblTube),'Panel Emissions'!$B31,(50*'Panel Emissions'!$B31+6*'Panel Emissions'!C$25)/56)-'Panel Emissions'!C$25)^1.25*IF(Angle*('Panel Emissions'!$B31-'Panel Emissions'!C$25)&lt;=0,(1+IF('Panel Emissions'!$B31-'Panel Emissions'!C$25&gt;=0,IF(Angle&lt;0,20%,IF(Mounting=0,IF(Width&lt;301,20%,IF(Width&lt;601,10%,0)),0)),IF(Angle&gt;0,20%,0))-20%),0.3*COS(Angle*PI()/180)+0.5)*1.1*(1+GapEx))*(1-HeightDerate)*IF(OR(Mat=PerfSt,Mat=PerfAli),80%,100%)*IF(EmissionsBasis=OFFSET(EmissionsByArea,0,-1),1,IF(EmissionsBasis=OFFSET(EmissionsByLength,0,-1),('Panel Emissions'!$C$14/1000),"?"))</f>
        <v>571.69730629436253</v>
      </c>
      <c r="D11" s="91">
        <f ca="1">IF('Panel Emissions'!$B31-'Panel Emissions'!D$25&lt;=0,-1,1)*(ABS(IF(OR(Mat=AnAli,Mat=StSt),0.5,0.85)*5.67/10^8*((IF(OR(Medium=Electric,Medium=DblTube),'Panel Emissions'!$B31,(50*'Panel Emissions'!$B31+6*'Panel Emissions'!D$25)/56)+273)^4-('Panel Emissions'!D$25+273)^4))+2.5*ABS(IF(OR(Medium=Electric,Medium=DblTube),'Panel Emissions'!$B31,(50*'Panel Emissions'!$B31+6*'Panel Emissions'!D$25)/56)-'Panel Emissions'!D$25)^1.25*IF(Angle*('Panel Emissions'!$B31-'Panel Emissions'!D$25)&lt;=0,(1+IF('Panel Emissions'!$B31-'Panel Emissions'!D$25&gt;=0,IF(Angle&lt;0,20%,IF(Mounting=0,IF(Width&lt;301,20%,IF(Width&lt;601,10%,0)),0)),IF(Angle&gt;0,20%,0))-20%),0.3*COS(Angle*PI()/180)+0.5)*1.1*(1+GapEx))*(1-HeightDerate)*IF(OR(Mat=PerfSt,Mat=PerfAli),80%,100%)*IF(EmissionsBasis=OFFSET(EmissionsByArea,0,-1),1,IF(EmissionsBasis=OFFSET(EmissionsByLength,0,-1),('Panel Emissions'!$C$14/1000),"?"))</f>
        <v>563.66590610227865</v>
      </c>
      <c r="E11" s="92">
        <f ca="1">IF('Panel Emissions'!$B31-'Panel Emissions'!E$25&lt;=0,-1,1)*(ABS(IF(OR(Mat=AnAli,Mat=StSt),0.5,0.85)*5.67/10^8*((IF(OR(Medium=Electric,Medium=DblTube),'Panel Emissions'!$B31,(50*'Panel Emissions'!$B31+6*'Panel Emissions'!E$25)/56)+273)^4-('Panel Emissions'!E$25+273)^4))+2.5*ABS(IF(OR(Medium=Electric,Medium=DblTube),'Panel Emissions'!$B31,(50*'Panel Emissions'!$B31+6*'Panel Emissions'!E$25)/56)-'Panel Emissions'!E$25)^1.25*IF(Angle*('Panel Emissions'!$B31-'Panel Emissions'!E$25)&lt;=0,(1+IF('Panel Emissions'!$B31-'Panel Emissions'!E$25&gt;=0,IF(Angle&lt;0,20%,IF(Mounting=0,IF(Width&lt;301,20%,IF(Width&lt;601,10%,0)),0)),IF(Angle&gt;0,20%,0))-20%),0.3*COS(Angle*PI()/180)+0.5)*1.1*(1+GapEx))*(1-HeightDerate)*IF(OR(Mat=PerfSt,Mat=PerfAli),80%,100%)*IF(EmissionsBasis=OFFSET(EmissionsByArea,0,-1),1,IF(EmissionsBasis=OFFSET(EmissionsByLength,0,-1),('Panel Emissions'!$C$14/1000),"?"))</f>
        <v>555.60334109883775</v>
      </c>
      <c r="F11" s="93">
        <f ca="1">IF('Panel Emissions'!$B31-'Panel Emissions'!F$25&lt;=0,-1,1)*(ABS(IF(OR(Mat=AnAli,Mat=StSt),0.5,0.85)*5.67/10^8*((IF(OR(Medium=Electric,Medium=DblTube),'Panel Emissions'!$B31,(50*'Panel Emissions'!$B31+6*'Panel Emissions'!F$25)/56)+273)^4-('Panel Emissions'!F$25+273)^4))+2.5*ABS(IF(OR(Medium=Electric,Medium=DblTube),'Panel Emissions'!$B31,(50*'Panel Emissions'!$B31+6*'Panel Emissions'!F$25)/56)-'Panel Emissions'!F$25)^1.25*IF(Angle*('Panel Emissions'!$B31-'Panel Emissions'!F$25)&lt;=0,(1+IF('Panel Emissions'!$B31-'Panel Emissions'!F$25&gt;=0,IF(Angle&lt;0,20%,IF(Mounting=0,IF(Width&lt;301,20%,IF(Width&lt;601,10%,0)),0)),IF(Angle&gt;0,20%,0))-20%),0.3*COS(Angle*PI()/180)+0.5)*1.1*(1+GapEx))*(1-HeightDerate)*IF(OR(Mat=PerfSt,Mat=PerfAli),80%,100%)*IF(EmissionsBasis=OFFSET(EmissionsByArea,0,-1),1,IF(EmissionsBasis=OFFSET(EmissionsByLength,0,-1),('Panel Emissions'!$C$14/1000),"?"))</f>
        <v>547.50947711890899</v>
      </c>
      <c r="G11" s="93">
        <f ca="1">IF('Panel Emissions'!$B31-'Panel Emissions'!G$25&lt;=0,-1,1)*(ABS(IF(OR(Mat=AnAli,Mat=StSt),0.5,0.85)*5.67/10^8*((IF(OR(Medium=Electric,Medium=DblTube),'Panel Emissions'!$B31,(50*'Panel Emissions'!$B31+6*'Panel Emissions'!G$25)/56)+273)^4-('Panel Emissions'!G$25+273)^4))+2.5*ABS(IF(OR(Medium=Electric,Medium=DblTube),'Panel Emissions'!$B31,(50*'Panel Emissions'!$B31+6*'Panel Emissions'!G$25)/56)-'Panel Emissions'!G$25)^1.25*IF(Angle*('Panel Emissions'!$B31-'Panel Emissions'!G$25)&lt;=0,(1+IF('Panel Emissions'!$B31-'Panel Emissions'!G$25&gt;=0,IF(Angle&lt;0,20%,IF(Mounting=0,IF(Width&lt;301,20%,IF(Width&lt;601,10%,0)),0)),IF(Angle&gt;0,20%,0))-20%),0.3*COS(Angle*PI()/180)+0.5)*1.1*(1+GapEx))*(1-HeightDerate)*IF(OR(Mat=PerfSt,Mat=PerfAli),80%,100%)*IF(EmissionsBasis=OFFSET(EmissionsByArea,0,-1),1,IF(EmissionsBasis=OFFSET(EmissionsByLength,0,-1),('Panel Emissions'!$C$14/1000),"?"))</f>
        <v>539.3841846064621</v>
      </c>
      <c r="H11" s="94">
        <f ca="1">IF('Panel Emissions'!$B31-'Panel Emissions'!H$25&lt;=0,-1,1)*(ABS(IF(OR(Mat=AnAli,Mat=StSt),0.5,0.85)*5.67/10^8*((IF(OR(Medium=Electric,Medium=DblTube),'Panel Emissions'!$B31,(50*'Panel Emissions'!$B31+6*'Panel Emissions'!H$25)/56)+273)^4-('Panel Emissions'!H$25+273)^4))+2.5*ABS(IF(OR(Medium=Electric,Medium=DblTube),'Panel Emissions'!$B31,(50*'Panel Emissions'!$B31+6*'Panel Emissions'!H$25)/56)-'Panel Emissions'!H$25)^1.25*IF(Angle*('Panel Emissions'!$B31-'Panel Emissions'!H$25)&lt;=0,(1+IF('Panel Emissions'!$B31-'Panel Emissions'!H$25&gt;=0,IF(Angle&lt;0,20%,IF(Mounting=0,IF(Width&lt;301,20%,IF(Width&lt;601,10%,0)),0)),IF(Angle&gt;0,20%,0))-20%),0.3*COS(Angle*PI()/180)+0.5)*1.1*(1+GapEx))*(1-HeightDerate)*IF(OR(Mat=PerfSt,Mat=PerfAli),80%,100%)*IF(EmissionsBasis=OFFSET(EmissionsByArea,0,-1),1,IF(EmissionsBasis=OFFSET(EmissionsByLength,0,-1),('Panel Emissions'!$C$14/1000),"?"))</f>
        <v>531.22733887832612</v>
      </c>
      <c r="I11" s="113">
        <f ca="1">IF('Panel Emissions'!$B31-'Panel Emissions'!I$25&lt;=0,-1,1)*(ABS(IF(OR(Mat=AnAli,Mat=StSt),0.5,0.85)*5.67/10^8*((IF(OR(Medium=Electric,Medium=DblTube),'Panel Emissions'!$B31,(50*'Panel Emissions'!$B31+6*'Panel Emissions'!I$25)/56)+273)^4-('Panel Emissions'!I$25+273)^4))+2.5*ABS(IF(OR(Medium=Electric,Medium=DblTube),'Panel Emissions'!$B31,(50*'Panel Emissions'!$B31+6*'Panel Emissions'!I$25)/56)-'Panel Emissions'!I$25)^1.25*IF(Angle*('Panel Emissions'!$B31-'Panel Emissions'!I$25)&lt;=0,(1+IF('Panel Emissions'!$B31-'Panel Emissions'!I$25&gt;=0,IF(Angle&lt;0,20%,IF(Mounting=0,IF(Width&lt;301,20%,IF(Width&lt;601,10%,0)),0)),IF(Angle&gt;0,20%,0))-20%),0.3*COS(Angle*PI()/180)+0.5)*1.1*(1+GapEx))*(1-HeightDerate)*IF(OR(Mat=PerfSt,Mat=PerfAli),80%,100%)*IF(EmissionsBasis=OFFSET(EmissionsByArea,0,-1),1,IF(EmissionsBasis=OFFSET(EmissionsByLength,0,-1),('Panel Emissions'!$C$14/1000),"?"))</f>
        <v>498.28211692207367</v>
      </c>
      <c r="J11" s="24"/>
      <c r="K11" s="12"/>
      <c r="L11" s="12"/>
      <c r="M11" s="12"/>
    </row>
    <row r="12" spans="2:13" x14ac:dyDescent="0.2">
      <c r="B12" s="90">
        <f>'Panel Emissions'!B32</f>
        <v>85</v>
      </c>
      <c r="C12" s="25">
        <f ca="1">IF('Panel Emissions'!$B32-'Panel Emissions'!C$25&lt;=0,-1,1)*(ABS(IF(OR(Mat=AnAli,Mat=StSt),0.5,0.85)*5.67/10^8*((IF(OR(Medium=Electric,Medium=DblTube),'Panel Emissions'!$B32,(50*'Panel Emissions'!$B32+6*'Panel Emissions'!C$25)/56)+273)^4-('Panel Emissions'!C$25+273)^4))+2.5*ABS(IF(OR(Medium=Electric,Medium=DblTube),'Panel Emissions'!$B32,(50*'Panel Emissions'!$B32+6*'Panel Emissions'!C$25)/56)-'Panel Emissions'!C$25)^1.25*IF(Angle*('Panel Emissions'!$B32-'Panel Emissions'!C$25)&lt;=0,(1+IF('Panel Emissions'!$B32-'Panel Emissions'!C$25&gt;=0,IF(Angle&lt;0,20%,IF(Mounting=0,IF(Width&lt;301,20%,IF(Width&lt;601,10%,0)),0)),IF(Angle&gt;0,20%,0))-20%),0.3*COS(Angle*PI()/180)+0.5)*1.1*(1+GapEx))*(1-HeightDerate)*IF(OR(Mat=PerfSt,Mat=PerfAli),80%,100%)*IF(EmissionsBasis=OFFSET(EmissionsByArea,0,-1),1,IF(EmissionsBasis=OFFSET(EmissionsByLength,0,-1),('Panel Emissions'!$C$14/1000),"?"))</f>
        <v>629.38489715954302</v>
      </c>
      <c r="D12" s="91">
        <f ca="1">IF('Panel Emissions'!$B32-'Panel Emissions'!D$25&lt;=0,-1,1)*(ABS(IF(OR(Mat=AnAli,Mat=StSt),0.5,0.85)*5.67/10^8*((IF(OR(Medium=Electric,Medium=DblTube),'Panel Emissions'!$B32,(50*'Panel Emissions'!$B32+6*'Panel Emissions'!D$25)/56)+273)^4-('Panel Emissions'!D$25+273)^4))+2.5*ABS(IF(OR(Medium=Electric,Medium=DblTube),'Panel Emissions'!$B32,(50*'Panel Emissions'!$B32+6*'Panel Emissions'!D$25)/56)-'Panel Emissions'!D$25)^1.25*IF(Angle*('Panel Emissions'!$B32-'Panel Emissions'!D$25)&lt;=0,(1+IF('Panel Emissions'!$B32-'Panel Emissions'!D$25&gt;=0,IF(Angle&lt;0,20%,IF(Mounting=0,IF(Width&lt;301,20%,IF(Width&lt;601,10%,0)),0)),IF(Angle&gt;0,20%,0))-20%),0.3*COS(Angle*PI()/180)+0.5)*1.1*(1+GapEx))*(1-HeightDerate)*IF(OR(Mat=PerfSt,Mat=PerfAli),80%,100%)*IF(EmissionsBasis=OFFSET(EmissionsByArea,0,-1),1,IF(EmissionsBasis=OFFSET(EmissionsByLength,0,-1),('Panel Emissions'!$C$14/1000),"?"))</f>
        <v>621.30652748621605</v>
      </c>
      <c r="E12" s="92">
        <f ca="1">IF('Panel Emissions'!$B32-'Panel Emissions'!E$25&lt;=0,-1,1)*(ABS(IF(OR(Mat=AnAli,Mat=StSt),0.5,0.85)*5.67/10^8*((IF(OR(Medium=Electric,Medium=DblTube),'Panel Emissions'!$B32,(50*'Panel Emissions'!$B32+6*'Panel Emissions'!E$25)/56)+273)^4-('Panel Emissions'!E$25+273)^4))+2.5*ABS(IF(OR(Medium=Electric,Medium=DblTube),'Panel Emissions'!$B32,(50*'Panel Emissions'!$B32+6*'Panel Emissions'!E$25)/56)-'Panel Emissions'!E$25)^1.25*IF(Angle*('Panel Emissions'!$B32-'Panel Emissions'!E$25)&lt;=0,(1+IF('Panel Emissions'!$B32-'Panel Emissions'!E$25&gt;=0,IF(Angle&lt;0,20%,IF(Mounting=0,IF(Width&lt;301,20%,IF(Width&lt;601,10%,0)),0)),IF(Angle&gt;0,20%,0))-20%),0.3*COS(Angle*PI()/180)+0.5)*1.1*(1+GapEx))*(1-HeightDerate)*IF(OR(Mat=PerfSt,Mat=PerfAli),80%,100%)*IF(EmissionsBasis=OFFSET(EmissionsByArea,0,-1),1,IF(EmissionsBasis=OFFSET(EmissionsByLength,0,-1),('Panel Emissions'!$C$14/1000),"?"))</f>
        <v>613.19608514630966</v>
      </c>
      <c r="F12" s="93">
        <f ca="1">IF('Panel Emissions'!$B32-'Panel Emissions'!F$25&lt;=0,-1,1)*(ABS(IF(OR(Mat=AnAli,Mat=StSt),0.5,0.85)*5.67/10^8*((IF(OR(Medium=Electric,Medium=DblTube),'Panel Emissions'!$B32,(50*'Panel Emissions'!$B32+6*'Panel Emissions'!F$25)/56)+273)^4-('Panel Emissions'!F$25+273)^4))+2.5*ABS(IF(OR(Medium=Electric,Medium=DblTube),'Panel Emissions'!$B32,(50*'Panel Emissions'!$B32+6*'Panel Emissions'!F$25)/56)-'Panel Emissions'!F$25)^1.25*IF(Angle*('Panel Emissions'!$B32-'Panel Emissions'!F$25)&lt;=0,(1+IF('Panel Emissions'!$B32-'Panel Emissions'!F$25&gt;=0,IF(Angle&lt;0,20%,IF(Mounting=0,IF(Width&lt;301,20%,IF(Width&lt;601,10%,0)),0)),IF(Angle&gt;0,20%,0))-20%),0.3*COS(Angle*PI()/180)+0.5)*1.1*(1+GapEx))*(1-HeightDerate)*IF(OR(Mat=PerfSt,Mat=PerfAli),80%,100%)*IF(EmissionsBasis=OFFSET(EmissionsByArea,0,-1),1,IF(EmissionsBasis=OFFSET(EmissionsByLength,0,-1),('Panel Emissions'!$C$14/1000),"?"))</f>
        <v>605.0534106048857</v>
      </c>
      <c r="G12" s="93">
        <f ca="1">IF('Panel Emissions'!$B32-'Panel Emissions'!G$25&lt;=0,-1,1)*(ABS(IF(OR(Mat=AnAli,Mat=StSt),0.5,0.85)*5.67/10^8*((IF(OR(Medium=Electric,Medium=DblTube),'Panel Emissions'!$B32,(50*'Panel Emissions'!$B32+6*'Panel Emissions'!G$25)/56)+273)^4-('Panel Emissions'!G$25+273)^4))+2.5*ABS(IF(OR(Medium=Electric,Medium=DblTube),'Panel Emissions'!$B32,(50*'Panel Emissions'!$B32+6*'Panel Emissions'!G$25)/56)-'Panel Emissions'!G$25)^1.25*IF(Angle*('Panel Emissions'!$B32-'Panel Emissions'!G$25)&lt;=0,(1+IF('Panel Emissions'!$B32-'Panel Emissions'!G$25&gt;=0,IF(Angle&lt;0,20%,IF(Mounting=0,IF(Width&lt;301,20%,IF(Width&lt;601,10%,0)),0)),IF(Angle&gt;0,20%,0))-20%),0.3*COS(Angle*PI()/180)+0.5)*1.1*(1+GapEx))*(1-HeightDerate)*IF(OR(Mat=PerfSt,Mat=PerfAli),80%,100%)*IF(EmissionsBasis=OFFSET(EmissionsByArea,0,-1),1,IF(EmissionsBasis=OFFSET(EmissionsByLength,0,-1),('Panel Emissions'!$C$14/1000),"?"))</f>
        <v>596.8783478283749</v>
      </c>
      <c r="H12" s="94">
        <f ca="1">IF('Panel Emissions'!$B32-'Panel Emissions'!H$25&lt;=0,-1,1)*(ABS(IF(OR(Mat=AnAli,Mat=StSt),0.5,0.85)*5.67/10^8*((IF(OR(Medium=Electric,Medium=DblTube),'Panel Emissions'!$B32,(50*'Panel Emissions'!$B32+6*'Panel Emissions'!H$25)/56)+273)^4-('Panel Emissions'!H$25+273)^4))+2.5*ABS(IF(OR(Medium=Electric,Medium=DblTube),'Panel Emissions'!$B32,(50*'Panel Emissions'!$B32+6*'Panel Emissions'!H$25)/56)-'Panel Emissions'!H$25)^1.25*IF(Angle*('Panel Emissions'!$B32-'Panel Emissions'!H$25)&lt;=0,(1+IF('Panel Emissions'!$B32-'Panel Emissions'!H$25&gt;=0,IF(Angle&lt;0,20%,IF(Mounting=0,IF(Width&lt;301,20%,IF(Width&lt;601,10%,0)),0)),IF(Angle&gt;0,20%,0))-20%),0.3*COS(Angle*PI()/180)+0.5)*1.1*(1+GapEx))*(1-HeightDerate)*IF(OR(Mat=PerfSt,Mat=PerfAli),80%,100%)*IF(EmissionsBasis=OFFSET(EmissionsByArea,0,-1),1,IF(EmissionsBasis=OFFSET(EmissionsByLength,0,-1),('Panel Emissions'!$C$14/1000),"?"))</f>
        <v>588.6707444813012</v>
      </c>
      <c r="I12" s="113">
        <f ca="1">IF('Panel Emissions'!$B32-'Panel Emissions'!I$25&lt;=0,-1,1)*(ABS(IF(OR(Mat=AnAli,Mat=StSt),0.5,0.85)*5.67/10^8*((IF(OR(Medium=Electric,Medium=DblTube),'Panel Emissions'!$B32,(50*'Panel Emissions'!$B32+6*'Panel Emissions'!I$25)/56)+273)^4-('Panel Emissions'!I$25+273)^4))+2.5*ABS(IF(OR(Medium=Electric,Medium=DblTube),'Panel Emissions'!$B32,(50*'Panel Emissions'!$B32+6*'Panel Emissions'!I$25)/56)-'Panel Emissions'!I$25)^1.25*IF(Angle*('Panel Emissions'!$B32-'Panel Emissions'!I$25)&lt;=0,(1+IF('Panel Emissions'!$B32-'Panel Emissions'!I$25&gt;=0,IF(Angle&lt;0,20%,IF(Mounting=0,IF(Width&lt;301,20%,IF(Width&lt;601,10%,0)),0)),IF(Angle&gt;0,20%,0))-20%),0.3*COS(Angle*PI()/180)+0.5)*1.1*(1+GapEx))*(1-HeightDerate)*IF(OR(Mat=PerfSt,Mat=PerfAli),80%,100%)*IF(EmissionsBasis=OFFSET(EmissionsByArea,0,-1),1,IF(EmissionsBasis=OFFSET(EmissionsByLength,0,-1),('Panel Emissions'!$C$14/1000),"?"))</f>
        <v>555.51202012572242</v>
      </c>
      <c r="J12" s="24"/>
      <c r="K12" s="12"/>
      <c r="L12" s="12"/>
      <c r="M12" s="12"/>
    </row>
    <row r="13" spans="2:13" x14ac:dyDescent="0.2">
      <c r="B13" s="90">
        <f>'Panel Emissions'!B33</f>
        <v>90</v>
      </c>
      <c r="C13" s="25">
        <f ca="1">IF('Panel Emissions'!$B33-'Panel Emissions'!C$25&lt;=0,-1,1)*(ABS(IF(OR(Mat=AnAli,Mat=StSt),0.5,0.85)*5.67/10^8*((IF(OR(Medium=Electric,Medium=DblTube),'Panel Emissions'!$B33,(50*'Panel Emissions'!$B33+6*'Panel Emissions'!C$25)/56)+273)^4-('Panel Emissions'!C$25+273)^4))+2.5*ABS(IF(OR(Medium=Electric,Medium=DblTube),'Panel Emissions'!$B33,(50*'Panel Emissions'!$B33+6*'Panel Emissions'!C$25)/56)-'Panel Emissions'!C$25)^1.25*IF(Angle*('Panel Emissions'!$B33-'Panel Emissions'!C$25)&lt;=0,(1+IF('Panel Emissions'!$B33-'Panel Emissions'!C$25&gt;=0,IF(Angle&lt;0,20%,IF(Mounting=0,IF(Width&lt;301,20%,IF(Width&lt;601,10%,0)),0)),IF(Angle&gt;0,20%,0))-20%),0.3*COS(Angle*PI()/180)+0.5)*1.1*(1+GapEx))*(1-HeightDerate)*IF(OR(Mat=PerfSt,Mat=PerfAli),80%,100%)*IF(EmissionsBasis=OFFSET(EmissionsByArea,0,-1),1,IF(EmissionsBasis=OFFSET(EmissionsByLength,0,-1),('Panel Emissions'!$C$14/1000),"?"))</f>
        <v>688.87904973085006</v>
      </c>
      <c r="D13" s="91">
        <f ca="1">IF('Panel Emissions'!$B33-'Panel Emissions'!D$25&lt;=0,-1,1)*(ABS(IF(OR(Mat=AnAli,Mat=StSt),0.5,0.85)*5.67/10^8*((IF(OR(Medium=Electric,Medium=DblTube),'Panel Emissions'!$B33,(50*'Panel Emissions'!$B33+6*'Panel Emissions'!D$25)/56)+273)^4-('Panel Emissions'!D$25+273)^4))+2.5*ABS(IF(OR(Medium=Electric,Medium=DblTube),'Panel Emissions'!$B33,(50*'Panel Emissions'!$B33+6*'Panel Emissions'!D$25)/56)-'Panel Emissions'!D$25)^1.25*IF(Angle*('Panel Emissions'!$B33-'Panel Emissions'!D$25)&lt;=0,(1+IF('Panel Emissions'!$B33-'Panel Emissions'!D$25&gt;=0,IF(Angle&lt;0,20%,IF(Mounting=0,IF(Width&lt;301,20%,IF(Width&lt;601,10%,0)),0)),IF(Angle&gt;0,20%,0))-20%),0.3*COS(Angle*PI()/180)+0.5)*1.1*(1+GapEx))*(1-HeightDerate)*IF(OR(Mat=PerfSt,Mat=PerfAli),80%,100%)*IF(EmissionsBasis=OFFSET(EmissionsByArea,0,-1),1,IF(EmissionsBasis=OFFSET(EmissionsByLength,0,-1),('Panel Emissions'!$C$14/1000),"?"))</f>
        <v>680.75887324186419</v>
      </c>
      <c r="E13" s="92">
        <f ca="1">IF('Panel Emissions'!$B33-'Panel Emissions'!E$25&lt;=0,-1,1)*(ABS(IF(OR(Mat=AnAli,Mat=StSt),0.5,0.85)*5.67/10^8*((IF(OR(Medium=Electric,Medium=DblTube),'Panel Emissions'!$B33,(50*'Panel Emissions'!$B33+6*'Panel Emissions'!E$25)/56)+273)^4-('Panel Emissions'!E$25+273)^4))+2.5*ABS(IF(OR(Medium=Electric,Medium=DblTube),'Panel Emissions'!$B33,(50*'Panel Emissions'!$B33+6*'Panel Emissions'!E$25)/56)-'Panel Emissions'!E$25)^1.25*IF(Angle*('Panel Emissions'!$B33-'Panel Emissions'!E$25)&lt;=0,(1+IF('Panel Emissions'!$B33-'Panel Emissions'!E$25&gt;=0,IF(Angle&lt;0,20%,IF(Mounting=0,IF(Width&lt;301,20%,IF(Width&lt;601,10%,0)),0)),IF(Angle&gt;0,20%,0))-20%),0.3*COS(Angle*PI()/180)+0.5)*1.1*(1+GapEx))*(1-HeightDerate)*IF(OR(Mat=PerfSt,Mat=PerfAli),80%,100%)*IF(EmissionsBasis=OFFSET(EmissionsByArea,0,-1),1,IF(EmissionsBasis=OFFSET(EmissionsByLength,0,-1),('Panel Emissions'!$C$14/1000),"?"))</f>
        <v>672.60582879433991</v>
      </c>
      <c r="F13" s="93">
        <f ca="1">IF('Panel Emissions'!$B33-'Panel Emissions'!F$25&lt;=0,-1,1)*(ABS(IF(OR(Mat=AnAli,Mat=StSt),0.5,0.85)*5.67/10^8*((IF(OR(Medium=Electric,Medium=DblTube),'Panel Emissions'!$B33,(50*'Panel Emissions'!$B33+6*'Panel Emissions'!F$25)/56)+273)^4-('Panel Emissions'!F$25+273)^4))+2.5*ABS(IF(OR(Medium=Electric,Medium=DblTube),'Panel Emissions'!$B33,(50*'Panel Emissions'!$B33+6*'Panel Emissions'!F$25)/56)-'Panel Emissions'!F$25)^1.25*IF(Angle*('Panel Emissions'!$B33-'Panel Emissions'!F$25)&lt;=0,(1+IF('Panel Emissions'!$B33-'Panel Emissions'!F$25&gt;=0,IF(Angle&lt;0,20%,IF(Mounting=0,IF(Width&lt;301,20%,IF(Width&lt;601,10%,0)),0)),IF(Angle&gt;0,20%,0))-20%),0.3*COS(Angle*PI()/180)+0.5)*1.1*(1+GapEx))*(1-HeightDerate)*IF(OR(Mat=PerfSt,Mat=PerfAli),80%,100%)*IF(EmissionsBasis=OFFSET(EmissionsByArea,0,-1),1,IF(EmissionsBasis=OFFSET(EmissionsByLength,0,-1),('Panel Emissions'!$C$14/1000),"?"))</f>
        <v>664.41973617031817</v>
      </c>
      <c r="G13" s="93">
        <f ca="1">IF('Panel Emissions'!$B33-'Panel Emissions'!G$25&lt;=0,-1,1)*(ABS(IF(OR(Mat=AnAli,Mat=StSt),0.5,0.85)*5.67/10^8*((IF(OR(Medium=Electric,Medium=DblTube),'Panel Emissions'!$B33,(50*'Panel Emissions'!$B33+6*'Panel Emissions'!G$25)/56)+273)^4-('Panel Emissions'!G$25+273)^4))+2.5*ABS(IF(OR(Medium=Electric,Medium=DblTube),'Panel Emissions'!$B33,(50*'Panel Emissions'!$B33+6*'Panel Emissions'!G$25)/56)-'Panel Emissions'!G$25)^1.25*IF(Angle*('Panel Emissions'!$B33-'Panel Emissions'!G$25)&lt;=0,(1+IF('Panel Emissions'!$B33-'Panel Emissions'!G$25&gt;=0,IF(Angle&lt;0,20%,IF(Mounting=0,IF(Width&lt;301,20%,IF(Width&lt;601,10%,0)),0)),IF(Angle&gt;0,20%,0))-20%),0.3*COS(Angle*PI()/180)+0.5)*1.1*(1+GapEx))*(1-HeightDerate)*IF(OR(Mat=PerfSt,Mat=PerfAli),80%,100%)*IF(EmissionsBasis=OFFSET(EmissionsByArea,0,-1),1,IF(EmissionsBasis=OFFSET(EmissionsByLength,0,-1),('Panel Emissions'!$C$14/1000),"?"))</f>
        <v>656.20041781659529</v>
      </c>
      <c r="H13" s="94">
        <f ca="1">IF('Panel Emissions'!$B33-'Panel Emissions'!H$25&lt;=0,-1,1)*(ABS(IF(OR(Mat=AnAli,Mat=StSt),0.5,0.85)*5.67/10^8*((IF(OR(Medium=Electric,Medium=DblTube),'Panel Emissions'!$B33,(50*'Panel Emissions'!$B33+6*'Panel Emissions'!H$25)/56)+273)^4-('Panel Emissions'!H$25+273)^4))+2.5*ABS(IF(OR(Medium=Electric,Medium=DblTube),'Panel Emissions'!$B33,(50*'Panel Emissions'!$B33+6*'Panel Emissions'!H$25)/56)-'Panel Emissions'!H$25)^1.25*IF(Angle*('Panel Emissions'!$B33-'Panel Emissions'!H$25)&lt;=0,(1+IF('Panel Emissions'!$B33-'Panel Emissions'!H$25&gt;=0,IF(Angle&lt;0,20%,IF(Mounting=0,IF(Width&lt;301,20%,IF(Width&lt;601,10%,0)),0)),IF(Angle&gt;0,20%,0))-20%),0.3*COS(Angle*PI()/180)+0.5)*1.1*(1+GapEx))*(1-HeightDerate)*IF(OR(Mat=PerfSt,Mat=PerfAli),80%,100%)*IF(EmissionsBasis=OFFSET(EmissionsByArea,0,-1),1,IF(EmissionsBasis=OFFSET(EmissionsByLength,0,-1),('Panel Emissions'!$C$14/1000),"?"))</f>
        <v>647.94769899459641</v>
      </c>
      <c r="I13" s="113">
        <f ca="1">IF('Panel Emissions'!$B33-'Panel Emissions'!I$25&lt;=0,-1,1)*(ABS(IF(OR(Mat=AnAli,Mat=StSt),0.5,0.85)*5.67/10^8*((IF(OR(Medium=Electric,Medium=DblTube),'Panel Emissions'!$B33,(50*'Panel Emissions'!$B33+6*'Panel Emissions'!I$25)/56)+273)^4-('Panel Emissions'!I$25+273)^4))+2.5*ABS(IF(OR(Medium=Electric,Medium=DblTube),'Panel Emissions'!$B33,(50*'Panel Emissions'!$B33+6*'Panel Emissions'!I$25)/56)-'Panel Emissions'!I$25)^1.25*IF(Angle*('Panel Emissions'!$B33-'Panel Emissions'!I$25)&lt;=0,(1+IF('Panel Emissions'!$B33-'Panel Emissions'!I$25&gt;=0,IF(Angle&lt;0,20%,IF(Mounting=0,IF(Width&lt;301,20%,IF(Width&lt;601,10%,0)),0)),IF(Angle&gt;0,20%,0))-20%),0.3*COS(Angle*PI()/180)+0.5)*1.1*(1+GapEx))*(1-HeightDerate)*IF(OR(Mat=PerfSt,Mat=PerfAli),80%,100%)*IF(EmissionsBasis=OFFSET(EmissionsByArea,0,-1),1,IF(EmissionsBasis=OFFSET(EmissionsByLength,0,-1),('Panel Emissions'!$C$14/1000),"?"))</f>
        <v>614.59943186139071</v>
      </c>
      <c r="J13" s="24"/>
      <c r="K13" s="12"/>
      <c r="L13" s="12"/>
      <c r="M13" s="12"/>
    </row>
    <row r="14" spans="2:13" x14ac:dyDescent="0.2">
      <c r="B14" s="90">
        <f>'Panel Emissions'!B34</f>
        <v>95</v>
      </c>
      <c r="C14" s="25">
        <f ca="1">IF('Panel Emissions'!$B34-'Panel Emissions'!C$25&lt;=0,-1,1)*(ABS(IF(OR(Mat=AnAli,Mat=StSt),0.5,0.85)*5.67/10^8*((IF(OR(Medium=Electric,Medium=DblTube),'Panel Emissions'!$B34,(50*'Panel Emissions'!$B34+6*'Panel Emissions'!C$25)/56)+273)^4-('Panel Emissions'!C$25+273)^4))+2.5*ABS(IF(OR(Medium=Electric,Medium=DblTube),'Panel Emissions'!$B34,(50*'Panel Emissions'!$B34+6*'Panel Emissions'!C$25)/56)-'Panel Emissions'!C$25)^1.25*IF(Angle*('Panel Emissions'!$B34-'Panel Emissions'!C$25)&lt;=0,(1+IF('Panel Emissions'!$B34-'Panel Emissions'!C$25&gt;=0,IF(Angle&lt;0,20%,IF(Mounting=0,IF(Width&lt;301,20%,IF(Width&lt;601,10%,0)),0)),IF(Angle&gt;0,20%,0))-20%),0.3*COS(Angle*PI()/180)+0.5)*1.1*(1+GapEx))*(1-HeightDerate)*IF(OR(Mat=PerfSt,Mat=PerfAli),80%,100%)*IF(EmissionsBasis=OFFSET(EmissionsByArea,0,-1),1,IF(EmissionsBasis=OFFSET(EmissionsByLength,0,-1),('Panel Emissions'!$C$14/1000),"?"))</f>
        <v>750.1961300429989</v>
      </c>
      <c r="D14" s="91">
        <f ca="1">IF('Panel Emissions'!$B34-'Panel Emissions'!D$25&lt;=0,-1,1)*(ABS(IF(OR(Mat=AnAli,Mat=StSt),0.5,0.85)*5.67/10^8*((IF(OR(Medium=Electric,Medium=DblTube),'Panel Emissions'!$B34,(50*'Panel Emissions'!$B34+6*'Panel Emissions'!D$25)/56)+273)^4-('Panel Emissions'!D$25+273)^4))+2.5*ABS(IF(OR(Medium=Electric,Medium=DblTube),'Panel Emissions'!$B34,(50*'Panel Emissions'!$B34+6*'Panel Emissions'!D$25)/56)-'Panel Emissions'!D$25)^1.25*IF(Angle*('Panel Emissions'!$B34-'Panel Emissions'!D$25)&lt;=0,(1+IF('Panel Emissions'!$B34-'Panel Emissions'!D$25&gt;=0,IF(Angle&lt;0,20%,IF(Mounting=0,IF(Width&lt;301,20%,IF(Width&lt;601,10%,0)),0)),IF(Angle&gt;0,20%,0))-20%),0.3*COS(Angle*PI()/180)+0.5)*1.1*(1+GapEx))*(1-HeightDerate)*IF(OR(Mat=PerfSt,Mat=PerfAli),80%,100%)*IF(EmissionsBasis=OFFSET(EmissionsByArea,0,-1),1,IF(EmissionsBasis=OFFSET(EmissionsByLength,0,-1),('Panel Emissions'!$C$14/1000),"?"))</f>
        <v>742.03882096601728</v>
      </c>
      <c r="E14" s="92">
        <f ca="1">IF('Panel Emissions'!$B34-'Panel Emissions'!E$25&lt;=0,-1,1)*(ABS(IF(OR(Mat=AnAli,Mat=StSt),0.5,0.85)*5.67/10^8*((IF(OR(Medium=Electric,Medium=DblTube),'Panel Emissions'!$B34,(50*'Panel Emissions'!$B34+6*'Panel Emissions'!E$25)/56)+273)^4-('Panel Emissions'!E$25+273)^4))+2.5*ABS(IF(OR(Medium=Electric,Medium=DblTube),'Panel Emissions'!$B34,(50*'Panel Emissions'!$B34+6*'Panel Emissions'!E$25)/56)-'Panel Emissions'!E$25)^1.25*IF(Angle*('Panel Emissions'!$B34-'Panel Emissions'!E$25)&lt;=0,(1+IF('Panel Emissions'!$B34-'Panel Emissions'!E$25&gt;=0,IF(Angle&lt;0,20%,IF(Mounting=0,IF(Width&lt;301,20%,IF(Width&lt;601,10%,0)),0)),IF(Angle&gt;0,20%,0))-20%),0.3*COS(Angle*PI()/180)+0.5)*1.1*(1+GapEx))*(1-HeightDerate)*IF(OR(Mat=PerfSt,Mat=PerfAli),80%,100%)*IF(EmissionsBasis=OFFSET(EmissionsByArea,0,-1),1,IF(EmissionsBasis=OFFSET(EmissionsByLength,0,-1),('Panel Emissions'!$C$14/1000),"?"))</f>
        <v>733.84794123618781</v>
      </c>
      <c r="F14" s="93">
        <f ca="1">IF('Panel Emissions'!$B34-'Panel Emissions'!F$25&lt;=0,-1,1)*(ABS(IF(OR(Mat=AnAli,Mat=StSt),0.5,0.85)*5.67/10^8*((IF(OR(Medium=Electric,Medium=DblTube),'Panel Emissions'!$B34,(50*'Panel Emissions'!$B34+6*'Panel Emissions'!F$25)/56)+273)^4-('Panel Emissions'!F$25+273)^4))+2.5*ABS(IF(OR(Medium=Electric,Medium=DblTube),'Panel Emissions'!$B34,(50*'Panel Emissions'!$B34+6*'Panel Emissions'!F$25)/56)-'Panel Emissions'!F$25)^1.25*IF(Angle*('Panel Emissions'!$B34-'Panel Emissions'!F$25)&lt;=0,(1+IF('Panel Emissions'!$B34-'Panel Emissions'!F$25&gt;=0,IF(Angle&lt;0,20%,IF(Mounting=0,IF(Width&lt;301,20%,IF(Width&lt;601,10%,0)),0)),IF(Angle&gt;0,20%,0))-20%),0.3*COS(Angle*PI()/180)+0.5)*1.1*(1+GapEx))*(1-HeightDerate)*IF(OR(Mat=PerfSt,Mat=PerfAli),80%,100%)*IF(EmissionsBasis=OFFSET(EmissionsByArea,0,-1),1,IF(EmissionsBasis=OFFSET(EmissionsByLength,0,-1),('Panel Emissions'!$C$14/1000),"?"))</f>
        <v>725.62329353344853</v>
      </c>
      <c r="G14" s="93">
        <f ca="1">IF('Panel Emissions'!$B34-'Panel Emissions'!G$25&lt;=0,-1,1)*(ABS(IF(OR(Mat=AnAli,Mat=StSt),0.5,0.85)*5.67/10^8*((IF(OR(Medium=Electric,Medium=DblTube),'Panel Emissions'!$B34,(50*'Panel Emissions'!$B34+6*'Panel Emissions'!G$25)/56)+273)^4-('Panel Emissions'!G$25+273)^4))+2.5*ABS(IF(OR(Medium=Electric,Medium=DblTube),'Panel Emissions'!$B34,(50*'Panel Emissions'!$B34+6*'Panel Emissions'!G$25)/56)-'Panel Emissions'!G$25)^1.25*IF(Angle*('Panel Emissions'!$B34-'Panel Emissions'!G$25)&lt;=0,(1+IF('Panel Emissions'!$B34-'Panel Emissions'!G$25&gt;=0,IF(Angle&lt;0,20%,IF(Mounting=0,IF(Width&lt;301,20%,IF(Width&lt;601,10%,0)),0)),IF(Angle&gt;0,20%,0))-20%),0.3*COS(Angle*PI()/180)+0.5)*1.1*(1+GapEx))*(1-HeightDerate)*IF(OR(Mat=PerfSt,Mat=PerfAli),80%,100%)*IF(EmissionsBasis=OFFSET(EmissionsByArea,0,-1),1,IF(EmissionsBasis=OFFSET(EmissionsByLength,0,-1),('Panel Emissions'!$C$14/1000),"?"))</f>
        <v>717.36468255812804</v>
      </c>
      <c r="H14" s="94">
        <f ca="1">IF('Panel Emissions'!$B34-'Panel Emissions'!H$25&lt;=0,-1,1)*(ABS(IF(OR(Mat=AnAli,Mat=StSt),0.5,0.85)*5.67/10^8*((IF(OR(Medium=Electric,Medium=DblTube),'Panel Emissions'!$B34,(50*'Panel Emissions'!$B34+6*'Panel Emissions'!H$25)/56)+273)^4-('Panel Emissions'!H$25+273)^4))+2.5*ABS(IF(OR(Medium=Electric,Medium=DblTube),'Panel Emissions'!$B34,(50*'Panel Emissions'!$B34+6*'Panel Emissions'!H$25)/56)-'Panel Emissions'!H$25)^1.25*IF(Angle*('Panel Emissions'!$B34-'Panel Emissions'!H$25)&lt;=0,(1+IF('Panel Emissions'!$B34-'Panel Emissions'!H$25&gt;=0,IF(Angle&lt;0,20%,IF(Mounting=0,IF(Width&lt;301,20%,IF(Width&lt;601,10%,0)),0)),IF(Angle&gt;0,20%,0))-20%),0.3*COS(Angle*PI()/180)+0.5)*1.1*(1+GapEx))*(1-HeightDerate)*IF(OR(Mat=PerfSt,Mat=PerfAli),80%,100%)*IF(EmissionsBasis=OFFSET(EmissionsByArea,0,-1),1,IF(EmissionsBasis=OFFSET(EmissionsByLength,0,-1),('Panel Emissions'!$C$14/1000),"?"))</f>
        <v>709.07191514725309</v>
      </c>
      <c r="I14" s="113">
        <f ca="1">IF('Panel Emissions'!$B34-'Panel Emissions'!I$25&lt;=0,-1,1)*(ABS(IF(OR(Mat=AnAli,Mat=StSt),0.5,0.85)*5.67/10^8*((IF(OR(Medium=Electric,Medium=DblTube),'Panel Emissions'!$B34,(50*'Panel Emissions'!$B34+6*'Panel Emissions'!I$25)/56)+273)^4-('Panel Emissions'!I$25+273)^4))+2.5*ABS(IF(OR(Medium=Electric,Medium=DblTube),'Panel Emissions'!$B34,(50*'Panel Emissions'!$B34+6*'Panel Emissions'!I$25)/56)-'Panel Emissions'!I$25)^1.25*IF(Angle*('Panel Emissions'!$B34-'Panel Emissions'!I$25)&lt;=0,(1+IF('Panel Emissions'!$B34-'Panel Emissions'!I$25&gt;=0,IF(Angle&lt;0,20%,IF(Mounting=0,IF(Width&lt;301,20%,IF(Width&lt;601,10%,0)),0)),IF(Angle&gt;0,20%,0))-20%),0.3*COS(Angle*PI()/180)+0.5)*1.1*(1+GapEx))*(1-HeightDerate)*IF(OR(Mat=PerfSt,Mat=PerfAli),80%,100%)*IF(EmissionsBasis=OFFSET(EmissionsByArea,0,-1),1,IF(EmissionsBasis=OFFSET(EmissionsByLength,0,-1),('Panel Emissions'!$C$14/1000),"?"))</f>
        <v>675.55549969472031</v>
      </c>
      <c r="J14" s="24"/>
      <c r="K14" s="12"/>
      <c r="L14" s="12"/>
      <c r="M14" s="12"/>
    </row>
    <row r="15" spans="2:13" x14ac:dyDescent="0.2">
      <c r="B15" s="90">
        <f>'Panel Emissions'!B35</f>
        <v>100</v>
      </c>
      <c r="C15" s="25">
        <f ca="1">IF('Panel Emissions'!$B35-'Panel Emissions'!C$25&lt;=0,-1,1)*(ABS(IF(OR(Mat=AnAli,Mat=StSt),0.5,0.85)*5.67/10^8*((IF(OR(Medium=Electric,Medium=DblTube),'Panel Emissions'!$B35,(50*'Panel Emissions'!$B35+6*'Panel Emissions'!C$25)/56)+273)^4-('Panel Emissions'!C$25+273)^4))+2.5*ABS(IF(OR(Medium=Electric,Medium=DblTube),'Panel Emissions'!$B35,(50*'Panel Emissions'!$B35+6*'Panel Emissions'!C$25)/56)-'Panel Emissions'!C$25)^1.25*IF(Angle*('Panel Emissions'!$B35-'Panel Emissions'!C$25)&lt;=0,(1+IF('Panel Emissions'!$B35-'Panel Emissions'!C$25&gt;=0,IF(Angle&lt;0,20%,IF(Mounting=0,IF(Width&lt;301,20%,IF(Width&lt;601,10%,0)),0)),IF(Angle&gt;0,20%,0))-20%),0.3*COS(Angle*PI()/180)+0.5)*1.1*(1+GapEx))*(1-HeightDerate)*IF(OR(Mat=PerfSt,Mat=PerfAli),80%,100%)*IF(EmissionsBasis=OFFSET(EmissionsByArea,0,-1),1,IF(EmissionsBasis=OFFSET(EmissionsByLength,0,-1),('Panel Emissions'!$C$14/1000),"?"))</f>
        <v>813.35519532909211</v>
      </c>
      <c r="D15" s="91">
        <f ca="1">IF('Panel Emissions'!$B35-'Panel Emissions'!D$25&lt;=0,-1,1)*(ABS(IF(OR(Mat=AnAli,Mat=StSt),0.5,0.85)*5.67/10^8*((IF(OR(Medium=Electric,Medium=DblTube),'Panel Emissions'!$B35,(50*'Panel Emissions'!$B35+6*'Panel Emissions'!D$25)/56)+273)^4-('Panel Emissions'!D$25+273)^4))+2.5*ABS(IF(OR(Medium=Electric,Medium=DblTube),'Panel Emissions'!$B35,(50*'Panel Emissions'!$B35+6*'Panel Emissions'!D$25)/56)-'Panel Emissions'!D$25)^1.25*IF(Angle*('Panel Emissions'!$B35-'Panel Emissions'!D$25)&lt;=0,(1+IF('Panel Emissions'!$B35-'Panel Emissions'!D$25&gt;=0,IF(Angle&lt;0,20%,IF(Mounting=0,IF(Width&lt;301,20%,IF(Width&lt;601,10%,0)),0)),IF(Angle&gt;0,20%,0))-20%),0.3*COS(Angle*PI()/180)+0.5)*1.1*(1+GapEx))*(1-HeightDerate)*IF(OR(Mat=PerfSt,Mat=PerfAli),80%,100%)*IF(EmissionsBasis=OFFSET(EmissionsByArea,0,-1),1,IF(EmissionsBasis=OFFSET(EmissionsByLength,0,-1),('Panel Emissions'!$C$14/1000),"?"))</f>
        <v>805.16502504556934</v>
      </c>
      <c r="E15" s="92">
        <f ca="1">IF('Panel Emissions'!$B35-'Panel Emissions'!E$25&lt;=0,-1,1)*(ABS(IF(OR(Mat=AnAli,Mat=StSt),0.5,0.85)*5.67/10^8*((IF(OR(Medium=Electric,Medium=DblTube),'Panel Emissions'!$B35,(50*'Panel Emissions'!$B35+6*'Panel Emissions'!E$25)/56)+273)^4-('Panel Emissions'!E$25+273)^4))+2.5*ABS(IF(OR(Medium=Electric,Medium=DblTube),'Panel Emissions'!$B35,(50*'Panel Emissions'!$B35+6*'Panel Emissions'!E$25)/56)-'Panel Emissions'!E$25)^1.25*IF(Angle*('Panel Emissions'!$B35-'Panel Emissions'!E$25)&lt;=0,(1+IF('Panel Emissions'!$B35-'Panel Emissions'!E$25&gt;=0,IF(Angle&lt;0,20%,IF(Mounting=0,IF(Width&lt;301,20%,IF(Width&lt;601,10%,0)),0)),IF(Angle&gt;0,20%,0))-20%),0.3*COS(Angle*PI()/180)+0.5)*1.1*(1+GapEx))*(1-HeightDerate)*IF(OR(Mat=PerfSt,Mat=PerfAli),80%,100%)*IF(EmissionsBasis=OFFSET(EmissionsByArea,0,-1),1,IF(EmissionsBasis=OFFSET(EmissionsByLength,0,-1),('Panel Emissions'!$C$14/1000),"?"))</f>
        <v>796.94065859393163</v>
      </c>
      <c r="F15" s="93">
        <f ca="1">IF('Panel Emissions'!$B35-'Panel Emissions'!F$25&lt;=0,-1,1)*(ABS(IF(OR(Mat=AnAli,Mat=StSt),0.5,0.85)*5.67/10^8*((IF(OR(Medium=Electric,Medium=DblTube),'Panel Emissions'!$B35,(50*'Panel Emissions'!$B35+6*'Panel Emissions'!F$25)/56)+273)^4-('Panel Emissions'!F$25+273)^4))+2.5*ABS(IF(OR(Medium=Electric,Medium=DblTube),'Panel Emissions'!$B35,(50*'Panel Emissions'!$B35+6*'Panel Emissions'!F$25)/56)-'Panel Emissions'!F$25)^1.25*IF(Angle*('Panel Emissions'!$B35-'Panel Emissions'!F$25)&lt;=0,(1+IF('Panel Emissions'!$B35-'Panel Emissions'!F$25&gt;=0,IF(Angle&lt;0,20%,IF(Mounting=0,IF(Width&lt;301,20%,IF(Width&lt;601,10%,0)),0)),IF(Angle&gt;0,20%,0))-20%),0.3*COS(Angle*PI()/180)+0.5)*1.1*(1+GapEx))*(1-HeightDerate)*IF(OR(Mat=PerfSt,Mat=PerfAli),80%,100%)*IF(EmissionsBasis=OFFSET(EmissionsByArea,0,-1),1,IF(EmissionsBasis=OFFSET(EmissionsByLength,0,-1),('Panel Emissions'!$C$14/1000),"?"))</f>
        <v>788.6818843379607</v>
      </c>
      <c r="G15" s="93">
        <f ca="1">IF('Panel Emissions'!$B35-'Panel Emissions'!G$25&lt;=0,-1,1)*(ABS(IF(OR(Mat=AnAli,Mat=StSt),0.5,0.85)*5.67/10^8*((IF(OR(Medium=Electric,Medium=DblTube),'Panel Emissions'!$B35,(50*'Panel Emissions'!$B35+6*'Panel Emissions'!G$25)/56)+273)^4-('Panel Emissions'!G$25+273)^4))+2.5*ABS(IF(OR(Medium=Electric,Medium=DblTube),'Panel Emissions'!$B35,(50*'Panel Emissions'!$B35+6*'Panel Emissions'!G$25)/56)-'Panel Emissions'!G$25)^1.25*IF(Angle*('Panel Emissions'!$B35-'Panel Emissions'!G$25)&lt;=0,(1+IF('Panel Emissions'!$B35-'Panel Emissions'!G$25&gt;=0,IF(Angle&lt;0,20%,IF(Mounting=0,IF(Width&lt;301,20%,IF(Width&lt;601,10%,0)),0)),IF(Angle&gt;0,20%,0))-20%),0.3*COS(Angle*PI()/180)+0.5)*1.1*(1+GapEx))*(1-HeightDerate)*IF(OR(Mat=PerfSt,Mat=PerfAli),80%,100%)*IF(EmissionsBasis=OFFSET(EmissionsByArea,0,-1),1,IF(EmissionsBasis=OFFSET(EmissionsByLength,0,-1),('Panel Emissions'!$C$14/1000),"?"))</f>
        <v>780.38849215701032</v>
      </c>
      <c r="H15" s="94">
        <f ca="1">IF('Panel Emissions'!$B35-'Panel Emissions'!H$25&lt;=0,-1,1)*(ABS(IF(OR(Mat=AnAli,Mat=StSt),0.5,0.85)*5.67/10^8*((IF(OR(Medium=Electric,Medium=DblTube),'Panel Emissions'!$B35,(50*'Panel Emissions'!$B35+6*'Panel Emissions'!H$25)/56)+273)^4-('Panel Emissions'!H$25+273)^4))+2.5*ABS(IF(OR(Medium=Electric,Medium=DblTube),'Panel Emissions'!$B35,(50*'Panel Emissions'!$B35+6*'Panel Emissions'!H$25)/56)-'Panel Emissions'!H$25)^1.25*IF(Angle*('Panel Emissions'!$B35-'Panel Emissions'!H$25)&lt;=0,(1+IF('Panel Emissions'!$B35-'Panel Emissions'!H$25&gt;=0,IF(Angle&lt;0,20%,IF(Mounting=0,IF(Width&lt;301,20%,IF(Width&lt;601,10%,0)),0)),IF(Angle&gt;0,20%,0))-20%),0.3*COS(Angle*PI()/180)+0.5)*1.1*(1+GapEx))*(1-HeightDerate)*IF(OR(Mat=PerfSt,Mat=PerfAli),80%,100%)*IF(EmissionsBasis=OFFSET(EmissionsByArea,0,-1),1,IF(EmissionsBasis=OFFSET(EmissionsByLength,0,-1),('Panel Emissions'!$C$14/1000),"?"))</f>
        <v>772.0602735377222</v>
      </c>
      <c r="I15" s="113">
        <f ca="1">IF('Panel Emissions'!$B35-'Panel Emissions'!I$25&lt;=0,-1,1)*(ABS(IF(OR(Mat=AnAli,Mat=StSt),0.5,0.85)*5.67/10^8*((IF(OR(Medium=Electric,Medium=DblTube),'Panel Emissions'!$B35,(50*'Panel Emissions'!$B35+6*'Panel Emissions'!I$25)/56)+273)^4-('Panel Emissions'!I$25+273)^4))+2.5*ABS(IF(OR(Medium=Electric,Medium=DblTube),'Panel Emissions'!$B35,(50*'Panel Emissions'!$B35+6*'Panel Emissions'!I$25)/56)-'Panel Emissions'!I$25)^1.25*IF(Angle*('Panel Emissions'!$B35-'Panel Emissions'!I$25)&lt;=0,(1+IF('Panel Emissions'!$B35-'Panel Emissions'!I$25&gt;=0,IF(Angle&lt;0,20%,IF(Mounting=0,IF(Width&lt;301,20%,IF(Width&lt;601,10%,0)),0)),IF(Angle&gt;0,20%,0))-20%),0.3*COS(Angle*PI()/180)+0.5)*1.1*(1+GapEx))*(1-HeightDerate)*IF(OR(Mat=PerfSt,Mat=PerfAli),80%,100%)*IF(EmissionsBasis=OFFSET(EmissionsByArea,0,-1),1,IF(EmissionsBasis=OFFSET(EmissionsByLength,0,-1),('Panel Emissions'!$C$14/1000),"?"))</f>
        <v>738.39502617645167</v>
      </c>
      <c r="J15" s="24"/>
      <c r="K15" s="12"/>
      <c r="L15" s="12"/>
      <c r="M15" s="12"/>
    </row>
    <row r="16" spans="2:13" x14ac:dyDescent="0.2">
      <c r="B16" s="90">
        <f>'Panel Emissions'!B36</f>
        <v>105</v>
      </c>
      <c r="C16" s="25">
        <f ca="1">IF('Panel Emissions'!$B36-'Panel Emissions'!C$25&lt;=0,-1,1)*(ABS(IF(OR(Mat=AnAli,Mat=StSt),0.5,0.85)*5.67/10^8*((IF(OR(Medium=Electric,Medium=DblTube),'Panel Emissions'!$B36,(50*'Panel Emissions'!$B36+6*'Panel Emissions'!C$25)/56)+273)^4-('Panel Emissions'!C$25+273)^4))+2.5*ABS(IF(OR(Medium=Electric,Medium=DblTube),'Panel Emissions'!$B36,(50*'Panel Emissions'!$B36+6*'Panel Emissions'!C$25)/56)-'Panel Emissions'!C$25)^1.25*IF(Angle*('Panel Emissions'!$B36-'Panel Emissions'!C$25)&lt;=0,(1+IF('Panel Emissions'!$B36-'Panel Emissions'!C$25&gt;=0,IF(Angle&lt;0,20%,IF(Mounting=0,IF(Width&lt;301,20%,IF(Width&lt;601,10%,0)),0)),IF(Angle&gt;0,20%,0))-20%),0.3*COS(Angle*PI()/180)+0.5)*1.1*(1+GapEx))*(1-HeightDerate)*IF(OR(Mat=PerfSt,Mat=PerfAli),80%,100%)*IF(EmissionsBasis=OFFSET(EmissionsByArea,0,-1),1,IF(EmissionsBasis=OFFSET(EmissionsByLength,0,-1),('Panel Emissions'!$C$14/1000),"?"))</f>
        <v>878.37762493929245</v>
      </c>
      <c r="D16" s="91">
        <f ca="1">IF('Panel Emissions'!$B36-'Panel Emissions'!D$25&lt;=0,-1,1)*(ABS(IF(OR(Mat=AnAli,Mat=StSt),0.5,0.85)*5.67/10^8*((IF(OR(Medium=Electric,Medium=DblTube),'Panel Emissions'!$B36,(50*'Panel Emissions'!$B36+6*'Panel Emissions'!D$25)/56)+273)^4-('Panel Emissions'!D$25+273)^4))+2.5*ABS(IF(OR(Medium=Electric,Medium=DblTube),'Panel Emissions'!$B36,(50*'Panel Emissions'!$B36+6*'Panel Emissions'!D$25)/56)-'Panel Emissions'!D$25)^1.25*IF(Angle*('Panel Emissions'!$B36-'Panel Emissions'!D$25)&lt;=0,(1+IF('Panel Emissions'!$B36-'Panel Emissions'!D$25&gt;=0,IF(Angle&lt;0,20%,IF(Mounting=0,IF(Width&lt;301,20%,IF(Width&lt;601,10%,0)),0)),IF(Angle&gt;0,20%,0))-20%),0.3*COS(Angle*PI()/180)+0.5)*1.1*(1+GapEx))*(1-HeightDerate)*IF(OR(Mat=PerfSt,Mat=PerfAli),80%,100%)*IF(EmissionsBasis=OFFSET(EmissionsByArea,0,-1),1,IF(EmissionsBasis=OFFSET(EmissionsByLength,0,-1),('Panel Emissions'!$C$14/1000),"?"))</f>
        <v>870.158528741238</v>
      </c>
      <c r="E16" s="92">
        <f ca="1">IF('Panel Emissions'!$B36-'Panel Emissions'!E$25&lt;=0,-1,1)*(ABS(IF(OR(Mat=AnAli,Mat=StSt),0.5,0.85)*5.67/10^8*((IF(OR(Medium=Electric,Medium=DblTube),'Panel Emissions'!$B36,(50*'Panel Emissions'!$B36+6*'Panel Emissions'!E$25)/56)+273)^4-('Panel Emissions'!E$25+273)^4))+2.5*ABS(IF(OR(Medium=Electric,Medium=DblTube),'Panel Emissions'!$B36,(50*'Panel Emissions'!$B36+6*'Panel Emissions'!E$25)/56)-'Panel Emissions'!E$25)^1.25*IF(Angle*('Panel Emissions'!$B36-'Panel Emissions'!E$25)&lt;=0,(1+IF('Panel Emissions'!$B36-'Panel Emissions'!E$25&gt;=0,IF(Angle&lt;0,20%,IF(Mounting=0,IF(Width&lt;301,20%,IF(Width&lt;601,10%,0)),0)),IF(Angle&gt;0,20%,0))-20%),0.3*COS(Angle*PI()/180)+0.5)*1.1*(1+GapEx))*(1-HeightDerate)*IF(OR(Mat=PerfSt,Mat=PerfAli),80%,100%)*IF(EmissionsBasis=OFFSET(EmissionsByArea,0,-1),1,IF(EmissionsBasis=OFFSET(EmissionsByLength,0,-1),('Panel Emissions'!$C$14/1000),"?"))</f>
        <v>861.90467593055223</v>
      </c>
      <c r="F16" s="93">
        <f ca="1">IF('Panel Emissions'!$B36-'Panel Emissions'!F$25&lt;=0,-1,1)*(ABS(IF(OR(Mat=AnAli,Mat=StSt),0.5,0.85)*5.67/10^8*((IF(OR(Medium=Electric,Medium=DblTube),'Panel Emissions'!$B36,(50*'Panel Emissions'!$B36+6*'Panel Emissions'!F$25)/56)+273)^4-('Panel Emissions'!F$25+273)^4))+2.5*ABS(IF(OR(Medium=Electric,Medium=DblTube),'Panel Emissions'!$B36,(50*'Panel Emissions'!$B36+6*'Panel Emissions'!F$25)/56)-'Panel Emissions'!F$25)^1.25*IF(Angle*('Panel Emissions'!$B36-'Panel Emissions'!F$25)&lt;=0,(1+IF('Panel Emissions'!$B36-'Panel Emissions'!F$25&gt;=0,IF(Angle&lt;0,20%,IF(Mounting=0,IF(Width&lt;301,20%,IF(Width&lt;601,10%,0)),0)),IF(Angle&gt;0,20%,0))-20%),0.3*COS(Angle*PI()/180)+0.5)*1.1*(1+GapEx))*(1-HeightDerate)*IF(OR(Mat=PerfSt,Mat=PerfAli),80%,100%)*IF(EmissionsBasis=OFFSET(EmissionsByArea,0,-1),1,IF(EmissionsBasis=OFFSET(EmissionsByLength,0,-1),('Panel Emissions'!$C$14/1000),"?"))</f>
        <v>853.61584275685186</v>
      </c>
      <c r="G16" s="93">
        <f ca="1">IF('Panel Emissions'!$B36-'Panel Emissions'!G$25&lt;=0,-1,1)*(ABS(IF(OR(Mat=AnAli,Mat=StSt),0.5,0.85)*5.67/10^8*((IF(OR(Medium=Electric,Medium=DblTube),'Panel Emissions'!$B36,(50*'Panel Emissions'!$B36+6*'Panel Emissions'!G$25)/56)+273)^4-('Panel Emissions'!G$25+273)^4))+2.5*ABS(IF(OR(Medium=Electric,Medium=DblTube),'Panel Emissions'!$B36,(50*'Panel Emissions'!$B36+6*'Panel Emissions'!G$25)/56)-'Panel Emissions'!G$25)^1.25*IF(Angle*('Panel Emissions'!$B36-'Panel Emissions'!G$25)&lt;=0,(1+IF('Panel Emissions'!$B36-'Panel Emissions'!G$25&gt;=0,IF(Angle&lt;0,20%,IF(Mounting=0,IF(Width&lt;301,20%,IF(Width&lt;601,10%,0)),0)),IF(Angle&gt;0,20%,0))-20%),0.3*COS(Angle*PI()/180)+0.5)*1.1*(1+GapEx))*(1-HeightDerate)*IF(OR(Mat=PerfSt,Mat=PerfAli),80%,100%)*IF(EmissionsBasis=OFFSET(EmissionsByArea,0,-1),1,IF(EmissionsBasis=OFFSET(EmissionsByLength,0,-1),('Panel Emissions'!$C$14/1000),"?"))</f>
        <v>845.29180658387372</v>
      </c>
      <c r="H16" s="94">
        <f ca="1">IF('Panel Emissions'!$B36-'Panel Emissions'!H$25&lt;=0,-1,1)*(ABS(IF(OR(Mat=AnAli,Mat=StSt),0.5,0.85)*5.67/10^8*((IF(OR(Medium=Electric,Medium=DblTube),'Panel Emissions'!$B36,(50*'Panel Emissions'!$B36+6*'Panel Emissions'!H$25)/56)+273)^4-('Panel Emissions'!H$25+273)^4))+2.5*ABS(IF(OR(Medium=Electric,Medium=DblTube),'Panel Emissions'!$B36,(50*'Panel Emissions'!$B36+6*'Panel Emissions'!H$25)/56)-'Panel Emissions'!H$25)^1.25*IF(Angle*('Panel Emissions'!$B36-'Panel Emissions'!H$25)&lt;=0,(1+IF('Panel Emissions'!$B36-'Panel Emissions'!H$25&gt;=0,IF(Angle&lt;0,20%,IF(Mounting=0,IF(Width&lt;301,20%,IF(Width&lt;601,10%,0)),0)),IF(Angle&gt;0,20%,0))-20%),0.3*COS(Angle*PI()/180)+0.5)*1.1*(1+GapEx))*(1-HeightDerate)*IF(OR(Mat=PerfSt,Mat=PerfAli),80%,100%)*IF(EmissionsBasis=OFFSET(EmissionsByArea,0,-1),1,IF(EmissionsBasis=OFFSET(EmissionsByLength,0,-1),('Panel Emissions'!$C$14/1000),"?"))</f>
        <v>836.93234596284208</v>
      </c>
      <c r="I16" s="113">
        <f ca="1">IF('Panel Emissions'!$B36-'Panel Emissions'!I$25&lt;=0,-1,1)*(ABS(IF(OR(Mat=AnAli,Mat=StSt),0.5,0.85)*5.67/10^8*((IF(OR(Medium=Electric,Medium=DblTube),'Panel Emissions'!$B36,(50*'Panel Emissions'!$B36+6*'Panel Emissions'!I$25)/56)+273)^4-('Panel Emissions'!I$25+273)^4))+2.5*ABS(IF(OR(Medium=Electric,Medium=DblTube),'Panel Emissions'!$B36,(50*'Panel Emissions'!$B36+6*'Panel Emissions'!I$25)/56)-'Panel Emissions'!I$25)^1.25*IF(Angle*('Panel Emissions'!$B36-'Panel Emissions'!I$25)&lt;=0,(1+IF('Panel Emissions'!$B36-'Panel Emissions'!I$25&gt;=0,IF(Angle&lt;0,20%,IF(Mounting=0,IF(Width&lt;301,20%,IF(Width&lt;601,10%,0)),0)),IF(Angle&gt;0,20%,0))-20%),0.3*COS(Angle*PI()/180)+0.5)*1.1*(1+GapEx))*(1-HeightDerate)*IF(OR(Mat=PerfSt,Mat=PerfAli),80%,100%)*IF(EmissionsBasis=OFFSET(EmissionsByArea,0,-1),1,IF(EmissionsBasis=OFFSET(EmissionsByLength,0,-1),('Panel Emissions'!$C$14/1000),"?"))</f>
        <v>803.1358759743573</v>
      </c>
      <c r="J16" s="24"/>
      <c r="K16" s="12"/>
      <c r="L16" s="12"/>
      <c r="M16" s="12"/>
    </row>
    <row r="17" spans="2:13" x14ac:dyDescent="0.2">
      <c r="B17" s="90">
        <f>'Panel Emissions'!B37</f>
        <v>110</v>
      </c>
      <c r="C17" s="25">
        <f ca="1">IF('Panel Emissions'!$B37-'Panel Emissions'!C$25&lt;=0,-1,1)*(ABS(IF(OR(Mat=AnAli,Mat=StSt),0.5,0.85)*5.67/10^8*((IF(OR(Medium=Electric,Medium=DblTube),'Panel Emissions'!$B37,(50*'Panel Emissions'!$B37+6*'Panel Emissions'!C$25)/56)+273)^4-('Panel Emissions'!C$25+273)^4))+2.5*ABS(IF(OR(Medium=Electric,Medium=DblTube),'Panel Emissions'!$B37,(50*'Panel Emissions'!$B37+6*'Panel Emissions'!C$25)/56)-'Panel Emissions'!C$25)^1.25*IF(Angle*('Panel Emissions'!$B37-'Panel Emissions'!C$25)&lt;=0,(1+IF('Panel Emissions'!$B37-'Panel Emissions'!C$25&gt;=0,IF(Angle&lt;0,20%,IF(Mounting=0,IF(Width&lt;301,20%,IF(Width&lt;601,10%,0)),0)),IF(Angle&gt;0,20%,0))-20%),0.3*COS(Angle*PI()/180)+0.5)*1.1*(1+GapEx))*(1-HeightDerate)*IF(OR(Mat=PerfSt,Mat=PerfAli),80%,100%)*IF(EmissionsBasis=OFFSET(EmissionsByArea,0,-1),1,IF(EmissionsBasis=OFFSET(EmissionsByLength,0,-1),('Panel Emissions'!$C$14/1000),"?"))</f>
        <v>945.28682981810391</v>
      </c>
      <c r="D17" s="91">
        <f ca="1">IF('Panel Emissions'!$B37-'Panel Emissions'!D$25&lt;=0,-1,1)*(ABS(IF(OR(Mat=AnAli,Mat=StSt),0.5,0.85)*5.67/10^8*((IF(OR(Medium=Electric,Medium=DblTube),'Panel Emissions'!$B37,(50*'Panel Emissions'!$B37+6*'Panel Emissions'!D$25)/56)+273)^4-('Panel Emissions'!D$25+273)^4))+2.5*ABS(IF(OR(Medium=Electric,Medium=DblTube),'Panel Emissions'!$B37,(50*'Panel Emissions'!$B37+6*'Panel Emissions'!D$25)/56)-'Panel Emissions'!D$25)^1.25*IF(Angle*('Panel Emissions'!$B37-'Panel Emissions'!D$25)&lt;=0,(1+IF('Panel Emissions'!$B37-'Panel Emissions'!D$25&gt;=0,IF(Angle&lt;0,20%,IF(Mounting=0,IF(Width&lt;301,20%,IF(Width&lt;601,10%,0)),0)),IF(Angle&gt;0,20%,0))-20%),0.3*COS(Angle*PI()/180)+0.5)*1.1*(1+GapEx))*(1-HeightDerate)*IF(OR(Mat=PerfSt,Mat=PerfAli),80%,100%)*IF(EmissionsBasis=OFFSET(EmissionsByArea,0,-1),1,IF(EmissionsBasis=OFFSET(EmissionsByLength,0,-1),('Panel Emissions'!$C$14/1000),"?"))</f>
        <v>937.04245979053985</v>
      </c>
      <c r="E17" s="92">
        <f ca="1">IF('Panel Emissions'!$B37-'Panel Emissions'!E$25&lt;=0,-1,1)*(ABS(IF(OR(Mat=AnAli,Mat=StSt),0.5,0.85)*5.67/10^8*((IF(OR(Medium=Electric,Medium=DblTube),'Panel Emissions'!$B37,(50*'Panel Emissions'!$B37+6*'Panel Emissions'!E$25)/56)+273)^4-('Panel Emissions'!E$25+273)^4))+2.5*ABS(IF(OR(Medium=Electric,Medium=DblTube),'Panel Emissions'!$B37,(50*'Panel Emissions'!$B37+6*'Panel Emissions'!E$25)/56)-'Panel Emissions'!E$25)^1.25*IF(Angle*('Panel Emissions'!$B37-'Panel Emissions'!E$25)&lt;=0,(1+IF('Panel Emissions'!$B37-'Panel Emissions'!E$25&gt;=0,IF(Angle&lt;0,20%,IF(Mounting=0,IF(Width&lt;301,20%,IF(Width&lt;601,10%,0)),0)),IF(Angle&gt;0,20%,0))-20%),0.3*COS(Angle*PI()/180)+0.5)*1.1*(1+GapEx))*(1-HeightDerate)*IF(OR(Mat=PerfSt,Mat=PerfAli),80%,100%)*IF(EmissionsBasis=OFFSET(EmissionsByArea,0,-1),1,IF(EmissionsBasis=OFFSET(EmissionsByLength,0,-1),('Panel Emissions'!$C$14/1000),"?"))</f>
        <v>928.76282812704062</v>
      </c>
      <c r="F17" s="93">
        <f ca="1">IF('Panel Emissions'!$B37-'Panel Emissions'!F$25&lt;=0,-1,1)*(ABS(IF(OR(Mat=AnAli,Mat=StSt),0.5,0.85)*5.67/10^8*((IF(OR(Medium=Electric,Medium=DblTube),'Panel Emissions'!$B37,(50*'Panel Emissions'!$B37+6*'Panel Emissions'!F$25)/56)+273)^4-('Panel Emissions'!F$25+273)^4))+2.5*ABS(IF(OR(Medium=Electric,Medium=DblTube),'Panel Emissions'!$B37,(50*'Panel Emissions'!$B37+6*'Panel Emissions'!F$25)/56)-'Panel Emissions'!F$25)^1.25*IF(Angle*('Panel Emissions'!$B37-'Panel Emissions'!F$25)&lt;=0,(1+IF('Panel Emissions'!$B37-'Panel Emissions'!F$25&gt;=0,IF(Angle&lt;0,20%,IF(Mounting=0,IF(Width&lt;301,20%,IF(Width&lt;601,10%,0)),0)),IF(Angle&gt;0,20%,0))-20%),0.3*COS(Angle*PI()/180)+0.5)*1.1*(1+GapEx))*(1-HeightDerate)*IF(OR(Mat=PerfSt,Mat=PerfAli),80%,100%)*IF(EmissionsBasis=OFFSET(EmissionsByArea,0,-1),1,IF(EmissionsBasis=OFFSET(EmissionsByLength,0,-1),('Panel Emissions'!$C$14/1000),"?"))</f>
        <v>920.44770072790766</v>
      </c>
      <c r="G17" s="93">
        <f ca="1">IF('Panel Emissions'!$B37-'Panel Emissions'!G$25&lt;=0,-1,1)*(ABS(IF(OR(Mat=AnAli,Mat=StSt),0.5,0.85)*5.67/10^8*((IF(OR(Medium=Electric,Medium=DblTube),'Panel Emissions'!$B37,(50*'Panel Emissions'!$B37+6*'Panel Emissions'!G$25)/56)+273)^4-('Panel Emissions'!G$25+273)^4))+2.5*ABS(IF(OR(Medium=Electric,Medium=DblTube),'Panel Emissions'!$B37,(50*'Panel Emissions'!$B37+6*'Panel Emissions'!G$25)/56)-'Panel Emissions'!G$25)^1.25*IF(Angle*('Panel Emissions'!$B37-'Panel Emissions'!G$25)&lt;=0,(1+IF('Panel Emissions'!$B37-'Panel Emissions'!G$25&gt;=0,IF(Angle&lt;0,20%,IF(Mounting=0,IF(Width&lt;301,20%,IF(Width&lt;601,10%,0)),0)),IF(Angle&gt;0,20%,0))-20%),0.3*COS(Angle*PI()/180)+0.5)*1.1*(1+GapEx))*(1-HeightDerate)*IF(OR(Mat=PerfSt,Mat=PerfAli),80%,100%)*IF(EmissionsBasis=OFFSET(EmissionsByArea,0,-1),1,IF(EmissionsBasis=OFFSET(EmissionsByLength,0,-1),('Panel Emissions'!$C$14/1000),"?"))</f>
        <v>912.09684428407104</v>
      </c>
      <c r="H17" s="94">
        <f ca="1">IF('Panel Emissions'!$B37-'Panel Emissions'!H$25&lt;=0,-1,1)*(ABS(IF(OR(Mat=AnAli,Mat=StSt),0.5,0.85)*5.67/10^8*((IF(OR(Medium=Electric,Medium=DblTube),'Panel Emissions'!$B37,(50*'Panel Emissions'!$B37+6*'Panel Emissions'!H$25)/56)+273)^4-('Panel Emissions'!H$25+273)^4))+2.5*ABS(IF(OR(Medium=Electric,Medium=DblTube),'Panel Emissions'!$B37,(50*'Panel Emissions'!$B37+6*'Panel Emissions'!H$25)/56)-'Panel Emissions'!H$25)^1.25*IF(Angle*('Panel Emissions'!$B37-'Panel Emissions'!H$25)&lt;=0,(1+IF('Panel Emissions'!$B37-'Panel Emissions'!H$25&gt;=0,IF(Angle&lt;0,20%,IF(Mounting=0,IF(Width&lt;301,20%,IF(Width&lt;601,10%,0)),0)),IF(Angle&gt;0,20%,0))-20%),0.3*COS(Angle*PI()/180)+0.5)*1.1*(1+GapEx))*(1-HeightDerate)*IF(OR(Mat=PerfSt,Mat=PerfAli),80%,100%)*IF(EmissionsBasis=OFFSET(EmissionsByArea,0,-1),1,IF(EmissionsBasis=OFFSET(EmissionsByLength,0,-1),('Panel Emissions'!$C$14/1000),"?"))</f>
        <v>903.71002633651085</v>
      </c>
      <c r="I17" s="113">
        <f ca="1">IF('Panel Emissions'!$B37-'Panel Emissions'!I$25&lt;=0,-1,1)*(ABS(IF(OR(Mat=AnAli,Mat=StSt),0.5,0.85)*5.67/10^8*((IF(OR(Medium=Electric,Medium=DblTube),'Panel Emissions'!$B37,(50*'Panel Emissions'!$B37+6*'Panel Emissions'!I$25)/56)+273)^4-('Panel Emissions'!I$25+273)^4))+2.5*ABS(IF(OR(Medium=Electric,Medium=DblTube),'Panel Emissions'!$B37,(50*'Panel Emissions'!$B37+6*'Panel Emissions'!I$25)/56)-'Panel Emissions'!I$25)^1.25*IF(Angle*('Panel Emissions'!$B37-'Panel Emissions'!I$25)&lt;=0,(1+IF('Panel Emissions'!$B37-'Panel Emissions'!I$25&gt;=0,IF(Angle&lt;0,20%,IF(Mounting=0,IF(Width&lt;301,20%,IF(Width&lt;601,10%,0)),0)),IF(Angle&gt;0,20%,0))-20%),0.3*COS(Angle*PI()/180)+0.5)*1.1*(1+GapEx))*(1-HeightDerate)*IF(OR(Mat=PerfSt,Mat=PerfAli),80%,100%)*IF(EmissionsBasis=OFFSET(EmissionsByArea,0,-1),1,IF(EmissionsBasis=OFFSET(EmissionsByLength,0,-1),('Panel Emissions'!$C$14/1000),"?"))</f>
        <v>869.79852362280485</v>
      </c>
      <c r="J17" s="24"/>
      <c r="K17" s="12"/>
      <c r="L17" s="12"/>
      <c r="M17" s="12"/>
    </row>
    <row r="18" spans="2:13" ht="13.5" thickBot="1" x14ac:dyDescent="0.25">
      <c r="B18" s="95">
        <f>'Panel Emissions'!B38</f>
        <v>115</v>
      </c>
      <c r="C18" s="96">
        <f ca="1">IF('Panel Emissions'!$B38-'Panel Emissions'!C$25&lt;=0,-1,1)*(ABS(IF(OR(Mat=AnAli,Mat=StSt),0.5,0.85)*5.67/10^8*((IF(OR(Medium=Electric,Medium=DblTube),'Panel Emissions'!$B38,(50*'Panel Emissions'!$B38+6*'Panel Emissions'!C$25)/56)+273)^4-('Panel Emissions'!C$25+273)^4))+2.5*ABS(IF(OR(Medium=Electric,Medium=DblTube),'Panel Emissions'!$B38,(50*'Panel Emissions'!$B38+6*'Panel Emissions'!C$25)/56)-'Panel Emissions'!C$25)^1.25*IF(Angle*('Panel Emissions'!$B38-'Panel Emissions'!C$25)&lt;=0,(1+IF('Panel Emissions'!$B38-'Panel Emissions'!C$25&gt;=0,IF(Angle&lt;0,20%,IF(Mounting=0,IF(Width&lt;301,20%,IF(Width&lt;601,10%,0)),0)),IF(Angle&gt;0,20%,0))-20%),0.3*COS(Angle*PI()/180)+0.5)*1.1*(1+GapEx))*(1-HeightDerate)*IF(OR(Mat=PerfSt,Mat=PerfAli),80%,100%)*IF(EmissionsBasis=OFFSET(EmissionsByArea,0,-1),1,IF(EmissionsBasis=OFFSET(EmissionsByLength,0,-1),('Panel Emissions'!$C$14/1000),"?"))</f>
        <v>1014.1080204869648</v>
      </c>
      <c r="D18" s="97">
        <f ca="1">IF('Panel Emissions'!$B38-'Panel Emissions'!D$25&lt;=0,-1,1)*(ABS(IF(OR(Mat=AnAli,Mat=StSt),0.5,0.85)*5.67/10^8*((IF(OR(Medium=Electric,Medium=DblTube),'Panel Emissions'!$B38,(50*'Panel Emissions'!$B38+6*'Panel Emissions'!D$25)/56)+273)^4-('Panel Emissions'!D$25+273)^4))+2.5*ABS(IF(OR(Medium=Electric,Medium=DblTube),'Panel Emissions'!$B38,(50*'Panel Emissions'!$B38+6*'Panel Emissions'!D$25)/56)-'Panel Emissions'!D$25)^1.25*IF(Angle*('Panel Emissions'!$B38-'Panel Emissions'!D$25)&lt;=0,(1+IF('Panel Emissions'!$B38-'Panel Emissions'!D$25&gt;=0,IF(Angle&lt;0,20%,IF(Mounting=0,IF(Width&lt;301,20%,IF(Width&lt;601,10%,0)),0)),IF(Angle&gt;0,20%,0))-20%),0.3*COS(Angle*PI()/180)+0.5)*1.1*(1+GapEx))*(1-HeightDerate)*IF(OR(Mat=PerfSt,Mat=PerfAli),80%,100%)*IF(EmissionsBasis=OFFSET(EmissionsByArea,0,-1),1,IF(EmissionsBasis=OFFSET(EmissionsByLength,0,-1),('Panel Emissions'!$C$14/1000),"?"))</f>
        <v>1005.8417879777846</v>
      </c>
      <c r="E18" s="98">
        <f ca="1">IF('Panel Emissions'!$B38-'Panel Emissions'!E$25&lt;=0,-1,1)*(ABS(IF(OR(Mat=AnAli,Mat=StSt),0.5,0.85)*5.67/10^8*((IF(OR(Medium=Electric,Medium=DblTube),'Panel Emissions'!$B38,(50*'Panel Emissions'!$B38+6*'Panel Emissions'!E$25)/56)+273)^4-('Panel Emissions'!E$25+273)^4))+2.5*ABS(IF(OR(Medium=Electric,Medium=DblTube),'Panel Emissions'!$B38,(50*'Panel Emissions'!$B38+6*'Panel Emissions'!E$25)/56)-'Panel Emissions'!E$25)^1.25*IF(Angle*('Panel Emissions'!$B38-'Panel Emissions'!E$25)&lt;=0,(1+IF('Panel Emissions'!$B38-'Panel Emissions'!E$25&gt;=0,IF(Angle&lt;0,20%,IF(Mounting=0,IF(Width&lt;301,20%,IF(Width&lt;601,10%,0)),0)),IF(Angle&gt;0,20%,0))-20%),0.3*COS(Angle*PI()/180)+0.5)*1.1*(1+GapEx))*(1-HeightDerate)*IF(OR(Mat=PerfSt,Mat=PerfAli),80%,100%)*IF(EmissionsBasis=OFFSET(EmissionsByArea,0,-1),1,IF(EmissionsBasis=OFFSET(EmissionsByLength,0,-1),('Panel Emissions'!$C$14/1000),"?"))</f>
        <v>997.5398364398161</v>
      </c>
      <c r="F18" s="99">
        <f ca="1">IF('Panel Emissions'!$B38-'Panel Emissions'!F$25&lt;=0,-1,1)*(ABS(IF(OR(Mat=AnAli,Mat=StSt),0.5,0.85)*5.67/10^8*((IF(OR(Medium=Electric,Medium=DblTube),'Panel Emissions'!$B38,(50*'Panel Emissions'!$B38+6*'Panel Emissions'!F$25)/56)+273)^4-('Panel Emissions'!F$25+273)^4))+2.5*ABS(IF(OR(Medium=Electric,Medium=DblTube),'Panel Emissions'!$B38,(50*'Panel Emissions'!$B38+6*'Panel Emissions'!F$25)/56)-'Panel Emissions'!F$25)^1.25*IF(Angle*('Panel Emissions'!$B38-'Panel Emissions'!F$25)&lt;=0,(1+IF('Panel Emissions'!$B38-'Panel Emissions'!F$25&gt;=0,IF(Angle&lt;0,20%,IF(Mounting=0,IF(Width&lt;301,20%,IF(Width&lt;601,10%,0)),0)),IF(Angle&gt;0,20%,0))-20%),0.3*COS(Angle*PI()/180)+0.5)*1.1*(1+GapEx))*(1-HeightDerate)*IF(OR(Mat=PerfSt,Mat=PerfAli),80%,100%)*IF(EmissionsBasis=OFFSET(EmissionsByArea,0,-1),1,IF(EmissionsBasis=OFFSET(EmissionsByLength,0,-1),('Panel Emissions'!$C$14/1000),"?"))</f>
        <v>989.20192285613643</v>
      </c>
      <c r="G18" s="99">
        <f ca="1">IF('Panel Emissions'!$B38-'Panel Emissions'!G$25&lt;=0,-1,1)*(ABS(IF(OR(Mat=AnAli,Mat=StSt),0.5,0.85)*5.67/10^8*((IF(OR(Medium=Electric,Medium=DblTube),'Panel Emissions'!$B38,(50*'Panel Emissions'!$B38+6*'Panel Emissions'!G$25)/56)+273)^4-('Panel Emissions'!G$25+273)^4))+2.5*ABS(IF(OR(Medium=Electric,Medium=DblTube),'Panel Emissions'!$B38,(50*'Panel Emissions'!$B38+6*'Panel Emissions'!G$25)/56)-'Panel Emissions'!G$25)^1.25*IF(Angle*('Panel Emissions'!$B38-'Panel Emissions'!G$25)&lt;=0,(1+IF('Panel Emissions'!$B38-'Panel Emissions'!G$25&gt;=0,IF(Angle&lt;0,20%,IF(Mounting=0,IF(Width&lt;301,20%,IF(Width&lt;601,10%,0)),0)),IF(Angle&gt;0,20%,0))-20%),0.3*COS(Angle*PI()/180)+0.5)*1.1*(1+GapEx))*(1-HeightDerate)*IF(OR(Mat=PerfSt,Mat=PerfAli),80%,100%)*IF(EmissionsBasis=OFFSET(EmissionsByArea,0,-1),1,IF(EmissionsBasis=OFFSET(EmissionsByLength,0,-1),('Panel Emissions'!$C$14/1000),"?"))</f>
        <v>980.82780473669163</v>
      </c>
      <c r="H18" s="100">
        <f ca="1">IF('Panel Emissions'!$B38-'Panel Emissions'!H$25&lt;=0,-1,1)*(ABS(IF(OR(Mat=AnAli,Mat=StSt),0.5,0.85)*5.67/10^8*((IF(OR(Medium=Electric,Medium=DblTube),'Panel Emissions'!$B38,(50*'Panel Emissions'!$B38+6*'Panel Emissions'!H$25)/56)+273)^4-('Panel Emissions'!H$25+273)^4))+2.5*ABS(IF(OR(Medium=Electric,Medium=DblTube),'Panel Emissions'!$B38,(50*'Panel Emissions'!$B38+6*'Panel Emissions'!H$25)/56)-'Panel Emissions'!H$25)^1.25*IF(Angle*('Panel Emissions'!$B38-'Panel Emissions'!H$25)&lt;=0,(1+IF('Panel Emissions'!$B38-'Panel Emissions'!H$25&gt;=0,IF(Angle&lt;0,20%,IF(Mounting=0,IF(Width&lt;301,20%,IF(Width&lt;601,10%,0)),0)),IF(Angle&gt;0,20%,0))-20%),0.3*COS(Angle*PI()/180)+0.5)*1.1*(1+GapEx))*(1-HeightDerate)*IF(OR(Mat=PerfSt,Mat=PerfAli),80%,100%)*IF(EmissionsBasis=OFFSET(EmissionsByArea,0,-1),1,IF(EmissionsBasis=OFFSET(EmissionsByLength,0,-1),('Panel Emissions'!$C$14/1000),"?"))</f>
        <v>972.41724016696867</v>
      </c>
      <c r="I18" s="114">
        <f ca="1">IF('Panel Emissions'!$B38-'Panel Emissions'!I$25&lt;=0,-1,1)*(ABS(IF(OR(Mat=AnAli,Mat=StSt),0.5,0.85)*5.67/10^8*((IF(OR(Medium=Electric,Medium=DblTube),'Panel Emissions'!$B38,(50*'Panel Emissions'!$B38+6*'Panel Emissions'!I$25)/56)+273)^4-('Panel Emissions'!I$25+273)^4))+2.5*ABS(IF(OR(Medium=Electric,Medium=DblTube),'Panel Emissions'!$B38,(50*'Panel Emissions'!$B38+6*'Panel Emissions'!I$25)/56)-'Panel Emissions'!I$25)^1.25*IF(Angle*('Panel Emissions'!$B38-'Panel Emissions'!I$25)&lt;=0,(1+IF('Panel Emissions'!$B38-'Panel Emissions'!I$25&gt;=0,IF(Angle&lt;0,20%,IF(Mounting=0,IF(Width&lt;301,20%,IF(Width&lt;601,10%,0)),0)),IF(Angle&gt;0,20%,0))-20%),0.3*COS(Angle*PI()/180)+0.5)*1.1*(1+GapEx))*(1-HeightDerate)*IF(OR(Mat=PerfSt,Mat=PerfAli),80%,100%)*IF(EmissionsBasis=OFFSET(EmissionsByArea,0,-1),1,IF(EmissionsBasis=OFFSET(EmissionsByLength,0,-1),('Panel Emissions'!$C$14/1000),"?"))</f>
        <v>938.40570213088245</v>
      </c>
      <c r="J18" s="24"/>
      <c r="K18" s="12"/>
      <c r="L18" s="12"/>
      <c r="M18" s="12"/>
    </row>
    <row r="19" spans="2:13" x14ac:dyDescent="0.2">
      <c r="B19" s="12"/>
      <c r="C19" s="12"/>
      <c r="D19" s="12"/>
      <c r="E19" s="12"/>
      <c r="F19" s="12"/>
      <c r="G19" s="12"/>
      <c r="H19" s="12"/>
      <c r="I19" s="12"/>
      <c r="J19" s="12"/>
      <c r="K19" s="12"/>
      <c r="L19" s="12"/>
      <c r="M19" s="12"/>
    </row>
    <row r="20" spans="2:13" x14ac:dyDescent="0.2">
      <c r="B20" s="12"/>
      <c r="C20" s="26" t="s">
        <v>21</v>
      </c>
      <c r="D20" s="27" t="s">
        <v>1</v>
      </c>
      <c r="E20" s="26" t="s">
        <v>124</v>
      </c>
      <c r="F20" s="197"/>
      <c r="G20" s="197"/>
      <c r="H20" s="197"/>
      <c r="I20" s="12" t="s">
        <v>12</v>
      </c>
      <c r="J20" s="12"/>
      <c r="K20" s="12"/>
      <c r="L20" s="12"/>
      <c r="M20" s="12"/>
    </row>
    <row r="21" spans="2:13" x14ac:dyDescent="0.2">
      <c r="B21" s="12"/>
      <c r="C21" s="28">
        <v>1</v>
      </c>
      <c r="D21" s="29">
        <v>2</v>
      </c>
      <c r="E21" s="178">
        <v>1</v>
      </c>
      <c r="F21" s="197"/>
      <c r="G21" s="197"/>
      <c r="H21" s="197"/>
      <c r="I21" s="12">
        <v>1.01</v>
      </c>
      <c r="J21" s="30">
        <v>36739</v>
      </c>
      <c r="K21" s="12" t="s">
        <v>13</v>
      </c>
      <c r="L21" s="12"/>
      <c r="M21" s="12"/>
    </row>
    <row r="22" spans="2:13" x14ac:dyDescent="0.2">
      <c r="B22" s="12"/>
      <c r="C22" s="14" t="s">
        <v>22</v>
      </c>
      <c r="D22" s="31" t="s">
        <v>2</v>
      </c>
      <c r="E22" s="199">
        <v>1</v>
      </c>
      <c r="F22" s="179" t="s">
        <v>60</v>
      </c>
      <c r="G22" s="197"/>
      <c r="H22" s="197"/>
      <c r="I22" s="12">
        <v>1.02</v>
      </c>
      <c r="J22" s="32">
        <v>36740</v>
      </c>
      <c r="K22" s="12" t="s">
        <v>15</v>
      </c>
      <c r="L22" s="12"/>
      <c r="M22" s="12"/>
    </row>
    <row r="23" spans="2:13" x14ac:dyDescent="0.2">
      <c r="B23" s="12"/>
      <c r="C23" s="15" t="s">
        <v>23</v>
      </c>
      <c r="D23" s="33" t="s">
        <v>11</v>
      </c>
      <c r="E23" s="200">
        <v>2</v>
      </c>
      <c r="F23" s="180" t="str">
        <f>"by heated length of a " &amp; Width &amp; "mm wide panel"</f>
        <v>by heated length of a 600mm wide panel</v>
      </c>
      <c r="G23" s="197"/>
      <c r="H23" s="197"/>
      <c r="I23" s="12">
        <v>1.03</v>
      </c>
      <c r="J23" s="34">
        <v>37058</v>
      </c>
      <c r="K23" s="12" t="s">
        <v>16</v>
      </c>
      <c r="L23" s="12"/>
      <c r="M23" s="12"/>
    </row>
    <row r="24" spans="2:13" x14ac:dyDescent="0.2">
      <c r="B24" s="12"/>
      <c r="C24" s="15" t="s">
        <v>24</v>
      </c>
      <c r="D24" s="33" t="s">
        <v>3</v>
      </c>
      <c r="E24" s="12"/>
      <c r="F24" s="197"/>
      <c r="G24" s="197"/>
      <c r="H24" s="197"/>
      <c r="I24" s="12">
        <v>1.04</v>
      </c>
      <c r="J24" s="32">
        <v>41689</v>
      </c>
      <c r="K24" s="12" t="s">
        <v>17</v>
      </c>
      <c r="L24" s="12"/>
      <c r="M24" s="12"/>
    </row>
    <row r="25" spans="2:13" x14ac:dyDescent="0.2">
      <c r="B25" s="12"/>
      <c r="C25" s="16" t="s">
        <v>25</v>
      </c>
      <c r="D25" s="33" t="s">
        <v>4</v>
      </c>
      <c r="E25" s="12"/>
      <c r="F25" s="197"/>
      <c r="G25" s="197"/>
      <c r="H25" s="197"/>
      <c r="I25" s="12"/>
      <c r="J25" s="12"/>
      <c r="K25" s="12" t="s">
        <v>26</v>
      </c>
      <c r="L25" s="12"/>
      <c r="M25" s="12"/>
    </row>
    <row r="26" spans="2:13" x14ac:dyDescent="0.2">
      <c r="B26" s="12"/>
      <c r="C26" s="12"/>
      <c r="D26" s="35" t="s">
        <v>18</v>
      </c>
      <c r="E26" s="12"/>
      <c r="F26" s="197"/>
      <c r="G26" s="197"/>
      <c r="H26" s="197"/>
      <c r="I26" s="12">
        <v>6</v>
      </c>
      <c r="J26" s="108">
        <v>42922</v>
      </c>
      <c r="K26" s="12" t="s">
        <v>52</v>
      </c>
      <c r="L26" s="12"/>
      <c r="M26" s="12"/>
    </row>
    <row r="27" spans="2:13" x14ac:dyDescent="0.2">
      <c r="B27" s="12"/>
      <c r="C27" s="12"/>
      <c r="D27" s="35" t="s">
        <v>19</v>
      </c>
      <c r="E27" s="12"/>
      <c r="F27" s="197"/>
      <c r="G27" s="197"/>
      <c r="H27" s="197"/>
      <c r="I27" s="12">
        <v>7</v>
      </c>
      <c r="J27" s="32">
        <v>42925</v>
      </c>
      <c r="K27" s="12" t="s">
        <v>62</v>
      </c>
      <c r="L27" s="12"/>
      <c r="M27" s="12"/>
    </row>
    <row r="28" spans="2:13" x14ac:dyDescent="0.2">
      <c r="B28" s="12"/>
      <c r="C28" s="12"/>
      <c r="D28" s="36" t="s">
        <v>20</v>
      </c>
      <c r="E28" s="12"/>
      <c r="F28" s="12"/>
      <c r="G28" s="12"/>
      <c r="H28" s="12"/>
      <c r="I28" s="12"/>
      <c r="J28" s="12"/>
      <c r="K28" s="12"/>
      <c r="L28" s="12"/>
      <c r="M28" s="12"/>
    </row>
    <row r="29" spans="2:13" x14ac:dyDescent="0.2">
      <c r="B29" s="12"/>
      <c r="C29" s="12"/>
      <c r="D29" s="12"/>
      <c r="E29" s="12"/>
      <c r="F29" s="12"/>
      <c r="G29" s="12"/>
      <c r="H29" s="12"/>
      <c r="I29" s="12"/>
      <c r="J29" s="12"/>
      <c r="K29" s="12"/>
      <c r="L29" s="12"/>
      <c r="M29" s="12"/>
    </row>
    <row r="30" spans="2:13" x14ac:dyDescent="0.2">
      <c r="B30" s="12"/>
      <c r="C30" s="12" t="s">
        <v>29</v>
      </c>
      <c r="D30" s="115" t="str">
        <f ca="1">D33</f>
        <v>Emissions per area (W/m²)</v>
      </c>
      <c r="E30" s="12"/>
      <c r="F30" s="12"/>
      <c r="G30" s="12"/>
      <c r="H30" s="12"/>
      <c r="I30" s="12"/>
      <c r="J30" s="12"/>
      <c r="K30" s="12"/>
      <c r="L30" s="12"/>
      <c r="M30" s="12"/>
    </row>
    <row r="31" spans="2:13" x14ac:dyDescent="0.2">
      <c r="B31" s="12"/>
      <c r="C31" s="12"/>
      <c r="D31" s="12" t="str">
        <f>'Panel Emissions'!B23 &amp; " " &amp; 'Panel Emissions'!B24 &amp; " " &amp; 'Panel Emissions'!B25</f>
        <v>Mean Water Temperature /°C</v>
      </c>
      <c r="E31" s="12"/>
      <c r="F31" s="12"/>
      <c r="G31" s="12"/>
      <c r="H31" s="12"/>
      <c r="I31" s="12"/>
      <c r="J31" s="12"/>
      <c r="K31" s="12"/>
      <c r="L31" s="12"/>
      <c r="M31" s="12"/>
    </row>
    <row r="32" spans="2:13" x14ac:dyDescent="0.2">
      <c r="B32" s="12"/>
      <c r="C32" s="12"/>
      <c r="D32" s="12" t="s">
        <v>30</v>
      </c>
      <c r="E32" s="12"/>
      <c r="F32" s="12"/>
      <c r="G32" s="12"/>
      <c r="H32" s="12"/>
      <c r="I32" s="12"/>
      <c r="J32" s="12"/>
      <c r="K32" s="12"/>
      <c r="L32" s="10" t="s">
        <v>61</v>
      </c>
      <c r="M32" s="12"/>
    </row>
    <row r="33" spans="2:13" x14ac:dyDescent="0.2">
      <c r="B33" s="12"/>
      <c r="C33" s="12"/>
      <c r="D33" s="115" t="str">
        <f ca="1">'Panel Emissions'!C23</f>
        <v>Emissions per area (W/m²)</v>
      </c>
      <c r="E33" s="12"/>
      <c r="F33" s="12"/>
      <c r="G33" s="12"/>
      <c r="H33" s="12"/>
      <c r="I33" s="12"/>
      <c r="J33" s="12"/>
      <c r="K33" s="12"/>
      <c r="L33" s="12"/>
      <c r="M33" s="12"/>
    </row>
    <row r="34" spans="2:13" x14ac:dyDescent="0.2">
      <c r="B34" s="197"/>
      <c r="C34" s="197"/>
      <c r="D34" s="197"/>
      <c r="E34" s="197"/>
      <c r="F34" s="197"/>
      <c r="G34" s="197"/>
      <c r="H34" s="197"/>
      <c r="I34" s="197"/>
      <c r="J34" s="12"/>
      <c r="K34" s="12"/>
      <c r="L34" s="12"/>
      <c r="M34" s="12"/>
    </row>
    <row r="35" spans="2:13" x14ac:dyDescent="0.2">
      <c r="B35" s="197"/>
      <c r="C35" s="197"/>
      <c r="D35" s="197"/>
      <c r="E35" s="197"/>
      <c r="F35" s="197"/>
      <c r="G35" s="197"/>
      <c r="H35" s="197"/>
      <c r="I35" s="197"/>
      <c r="J35" s="12"/>
      <c r="K35" s="12"/>
      <c r="L35" s="12"/>
      <c r="M35" s="12"/>
    </row>
    <row r="36" spans="2:13" x14ac:dyDescent="0.2">
      <c r="B36" s="197"/>
      <c r="C36" s="197"/>
      <c r="D36" s="197"/>
      <c r="E36" s="197"/>
      <c r="F36" s="197"/>
      <c r="G36" s="197"/>
      <c r="H36" s="197"/>
      <c r="I36" s="197"/>
      <c r="J36" s="12"/>
      <c r="K36" s="12"/>
      <c r="L36" s="12"/>
      <c r="M36" s="12"/>
    </row>
  </sheetData>
  <conditionalFormatting sqref="F22:F23">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31</vt:i4>
      </vt:variant>
    </vt:vector>
  </HeadingPairs>
  <TitlesOfParts>
    <vt:vector size="35" baseType="lpstr">
      <vt:lpstr>Instructions</vt:lpstr>
      <vt:lpstr>Panel Emissions</vt:lpstr>
      <vt:lpstr>Panel Sizer Tool</vt:lpstr>
      <vt:lpstr>Calculations</vt:lpstr>
      <vt:lpstr>AnAli</vt:lpstr>
      <vt:lpstr>Angle</vt:lpstr>
      <vt:lpstr>DblTube</vt:lpstr>
      <vt:lpstr>Electric</vt:lpstr>
      <vt:lpstr>EmissionsBasis</vt:lpstr>
      <vt:lpstr>EmissionsByArea</vt:lpstr>
      <vt:lpstr>EmissionsByLength</vt:lpstr>
      <vt:lpstr>EmissionsList</vt:lpstr>
      <vt:lpstr>Gap</vt:lpstr>
      <vt:lpstr>GapEx</vt:lpstr>
      <vt:lpstr>HeightDerate</vt:lpstr>
      <vt:lpstr>Mat</vt:lpstr>
      <vt:lpstr>MatIndex</vt:lpstr>
      <vt:lpstr>MatList</vt:lpstr>
      <vt:lpstr>Medium</vt:lpstr>
      <vt:lpstr>MediumIndex</vt:lpstr>
      <vt:lpstr>MediumList</vt:lpstr>
      <vt:lpstr>Mounting</vt:lpstr>
      <vt:lpstr>PAli</vt:lpstr>
      <vt:lpstr>PerfAli</vt:lpstr>
      <vt:lpstr>PerfSt</vt:lpstr>
      <vt:lpstr>PlSt</vt:lpstr>
      <vt:lpstr>'Panel Emissions'!Print_Area</vt:lpstr>
      <vt:lpstr>'Panel Sizer Tool'!Print_Area</vt:lpstr>
      <vt:lpstr>'Panel Sizer Tool'!Print_Titles</vt:lpstr>
      <vt:lpstr>PSt</vt:lpstr>
      <vt:lpstr>SkirtEx</vt:lpstr>
      <vt:lpstr>Steam</vt:lpstr>
      <vt:lpstr>StSt</vt:lpstr>
      <vt:lpstr>Water</vt:lpstr>
      <vt:lpstr>Width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Alastair Ching</dc:creator>
  <cp:lastModifiedBy>Evelyn Gutteridge</cp:lastModifiedBy>
  <cp:lastPrinted>2017-11-15T17:42:56Z</cp:lastPrinted>
  <dcterms:created xsi:type="dcterms:W3CDTF">1998-01-06T12:16:41Z</dcterms:created>
  <dcterms:modified xsi:type="dcterms:W3CDTF">2019-02-18T19:25:20Z</dcterms:modified>
</cp:coreProperties>
</file>